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4409\Budgetmodel Rapport22\"/>
    </mc:Choice>
  </mc:AlternateContent>
  <bookViews>
    <workbookView xWindow="-120" yWindow="-120" windowWidth="29040" windowHeight="17640" tabRatio="844" activeTab="1"/>
  </bookViews>
  <sheets>
    <sheet name="BEVILLING 2021-24" sheetId="19" r:id="rId1"/>
    <sheet name="ved tilbageholdelse af pulje" sheetId="26" r:id="rId2"/>
    <sheet name="18-19-19 BB-Model" sheetId="25" r:id="rId3"/>
    <sheet name="ny m2" sheetId="10" r:id="rId4"/>
    <sheet name="ny m2 rådata" sheetId="9" r:id="rId5"/>
    <sheet name="Formål 2" sheetId="3" r:id="rId6"/>
    <sheet name="Formål 3 skal" sheetId="4" r:id="rId7"/>
    <sheet name="Formål 3 kan" sheetId="5" r:id="rId8"/>
    <sheet name="Indbyggere" sheetId="6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9" l="1"/>
  <c r="E37" i="9"/>
  <c r="H29" i="9"/>
  <c r="E29" i="9"/>
  <c r="C6" i="26" l="1"/>
  <c r="G23" i="26"/>
  <c r="B22" i="26"/>
  <c r="B24" i="26" s="1"/>
  <c r="B9" i="26"/>
  <c r="C5" i="26"/>
  <c r="C9" i="26" l="1"/>
  <c r="H23" i="26"/>
  <c r="H18" i="26"/>
  <c r="H15" i="26"/>
  <c r="H14" i="26"/>
  <c r="H19" i="26"/>
  <c r="E5" i="26"/>
  <c r="C4" i="26"/>
  <c r="H22" i="26"/>
  <c r="H13" i="26"/>
  <c r="H17" i="26"/>
  <c r="H21" i="26"/>
  <c r="H16" i="26"/>
  <c r="H20" i="26"/>
  <c r="I15" i="5"/>
  <c r="I7" i="5"/>
  <c r="F15" i="5"/>
  <c r="F13" i="5"/>
  <c r="F7" i="5"/>
  <c r="E9" i="26" l="1"/>
  <c r="F5" i="26"/>
  <c r="E4" i="26"/>
  <c r="H24" i="26"/>
  <c r="C4" i="19"/>
  <c r="C3" i="4"/>
  <c r="C3" i="3"/>
  <c r="I6" i="5"/>
  <c r="F6" i="5"/>
  <c r="F9" i="26" l="1"/>
  <c r="F4" i="26"/>
  <c r="L6" i="5"/>
  <c r="I12" i="5"/>
  <c r="F12" i="5"/>
  <c r="I11" i="5"/>
  <c r="F11" i="5"/>
  <c r="G3" i="6" l="1"/>
  <c r="I14" i="5"/>
  <c r="F14" i="5"/>
  <c r="I10" i="5"/>
  <c r="I9" i="5"/>
  <c r="I8" i="5"/>
  <c r="F9" i="5"/>
  <c r="F8" i="5"/>
  <c r="K19" i="3"/>
  <c r="G16" i="3"/>
  <c r="K59" i="9"/>
  <c r="H59" i="9"/>
  <c r="E59" i="9"/>
  <c r="B59" i="9"/>
  <c r="D4" i="19"/>
  <c r="B8" i="19"/>
  <c r="N59" i="9" l="1"/>
  <c r="H16" i="4"/>
  <c r="H15" i="4"/>
  <c r="H4" i="4"/>
  <c r="H3" i="4"/>
  <c r="H16" i="3"/>
  <c r="H15" i="3"/>
  <c r="H4" i="3"/>
  <c r="H3" i="3"/>
  <c r="I15" i="4" l="1"/>
  <c r="I3" i="4"/>
  <c r="G3" i="4"/>
  <c r="L15" i="4" l="1"/>
  <c r="G15" i="4"/>
  <c r="D15" i="4"/>
  <c r="L3" i="4"/>
  <c r="F3" i="4"/>
  <c r="F15" i="4"/>
  <c r="C5" i="19" l="1"/>
  <c r="C8" i="19" s="1"/>
  <c r="F22" i="19"/>
  <c r="D5" i="19" l="1"/>
  <c r="D8" i="19" l="1"/>
  <c r="E5" i="19"/>
  <c r="E8" i="19" l="1"/>
  <c r="E4" i="19"/>
  <c r="B21" i="19" l="1"/>
  <c r="L34" i="25"/>
  <c r="L35" i="25" s="1"/>
  <c r="L37" i="25" s="1"/>
  <c r="G4" i="6"/>
  <c r="G5" i="6"/>
  <c r="G6" i="6"/>
  <c r="G7" i="6"/>
  <c r="G8" i="6"/>
  <c r="G9" i="6"/>
  <c r="G10" i="6"/>
  <c r="G11" i="6"/>
  <c r="G12" i="6"/>
  <c r="G13" i="6" l="1"/>
  <c r="B23" i="19"/>
  <c r="G18" i="19" s="1"/>
  <c r="M25" i="25"/>
  <c r="M34" i="25"/>
  <c r="M29" i="25"/>
  <c r="M33" i="25"/>
  <c r="M28" i="25"/>
  <c r="M30" i="25"/>
  <c r="M26" i="25"/>
  <c r="M27" i="25"/>
  <c r="M31" i="25"/>
  <c r="M32" i="25"/>
  <c r="G20" i="19" l="1"/>
  <c r="G21" i="19"/>
  <c r="G14" i="19"/>
  <c r="G12" i="19"/>
  <c r="G19" i="19"/>
  <c r="G17" i="19"/>
  <c r="G15" i="19"/>
  <c r="G22" i="19"/>
  <c r="G16" i="19"/>
  <c r="G13" i="19"/>
  <c r="M35" i="25"/>
  <c r="I13" i="5"/>
  <c r="F10" i="5"/>
  <c r="L29" i="4"/>
  <c r="L30" i="4"/>
  <c r="L32" i="4"/>
  <c r="K30" i="4"/>
  <c r="K31" i="4"/>
  <c r="K32" i="4"/>
  <c r="J28" i="4"/>
  <c r="J29" i="4"/>
  <c r="J30" i="4"/>
  <c r="J31" i="4"/>
  <c r="J32" i="4"/>
  <c r="I30" i="4"/>
  <c r="I32" i="4"/>
  <c r="H28" i="4"/>
  <c r="H30" i="4"/>
  <c r="H32" i="4"/>
  <c r="G29" i="4"/>
  <c r="G30" i="4"/>
  <c r="F29" i="4"/>
  <c r="F30" i="4"/>
  <c r="F32" i="4"/>
  <c r="E28" i="4"/>
  <c r="E30" i="4"/>
  <c r="D30" i="4"/>
  <c r="D32" i="4"/>
  <c r="C28" i="4"/>
  <c r="C29" i="4"/>
  <c r="C30" i="4"/>
  <c r="C32" i="4"/>
  <c r="L29" i="3"/>
  <c r="L30" i="3"/>
  <c r="L32" i="3"/>
  <c r="K30" i="3"/>
  <c r="K31" i="3"/>
  <c r="K32" i="3"/>
  <c r="J28" i="3"/>
  <c r="J29" i="3"/>
  <c r="J30" i="3"/>
  <c r="J31" i="3"/>
  <c r="J32" i="3"/>
  <c r="I30" i="3"/>
  <c r="I32" i="3"/>
  <c r="H28" i="3"/>
  <c r="H30" i="3"/>
  <c r="H32" i="3"/>
  <c r="G29" i="3"/>
  <c r="G30" i="3"/>
  <c r="F29" i="3"/>
  <c r="F30" i="3"/>
  <c r="F32" i="3"/>
  <c r="E28" i="3"/>
  <c r="E30" i="3"/>
  <c r="D30" i="3"/>
  <c r="D32" i="3"/>
  <c r="C28" i="3"/>
  <c r="C29" i="3"/>
  <c r="C30" i="3"/>
  <c r="C32" i="3"/>
  <c r="I17" i="3"/>
  <c r="I17" i="4"/>
  <c r="I27" i="3"/>
  <c r="E19" i="4"/>
  <c r="I27" i="4"/>
  <c r="L27" i="4"/>
  <c r="J27" i="4"/>
  <c r="H27" i="4"/>
  <c r="G27" i="4"/>
  <c r="F27" i="4"/>
  <c r="D27" i="4"/>
  <c r="K11" i="4"/>
  <c r="J11" i="4"/>
  <c r="I23" i="4"/>
  <c r="I11" i="4"/>
  <c r="I35" i="4" s="1"/>
  <c r="H23" i="4"/>
  <c r="H11" i="4"/>
  <c r="G23" i="4"/>
  <c r="G11" i="4"/>
  <c r="E23" i="4"/>
  <c r="E15" i="4"/>
  <c r="E15" i="3"/>
  <c r="E3" i="3"/>
  <c r="E3" i="4"/>
  <c r="E27" i="4" s="1"/>
  <c r="E11" i="4"/>
  <c r="D23" i="4"/>
  <c r="D11" i="4"/>
  <c r="D35" i="4" s="1"/>
  <c r="C23" i="4"/>
  <c r="C11" i="4"/>
  <c r="J21" i="4"/>
  <c r="G20" i="4"/>
  <c r="E20" i="4"/>
  <c r="L19" i="4"/>
  <c r="I19" i="4"/>
  <c r="H19" i="4"/>
  <c r="G19" i="4"/>
  <c r="F19" i="4"/>
  <c r="D19" i="4"/>
  <c r="C19" i="4"/>
  <c r="C21" i="4" s="1"/>
  <c r="M18" i="4"/>
  <c r="K17" i="4"/>
  <c r="K29" i="4" s="1"/>
  <c r="D17" i="4"/>
  <c r="L16" i="4"/>
  <c r="K16" i="4"/>
  <c r="I16" i="4"/>
  <c r="G16" i="4"/>
  <c r="F16" i="4"/>
  <c r="D16" i="4"/>
  <c r="G8" i="4"/>
  <c r="G32" i="4" s="1"/>
  <c r="E8" i="4"/>
  <c r="E32" i="4" s="1"/>
  <c r="L7" i="4"/>
  <c r="L31" i="4" s="1"/>
  <c r="I7" i="4"/>
  <c r="I31" i="4" s="1"/>
  <c r="H7" i="4"/>
  <c r="H31" i="4" s="1"/>
  <c r="G7" i="4"/>
  <c r="G31" i="4" s="1"/>
  <c r="F7" i="4"/>
  <c r="F31" i="4" s="1"/>
  <c r="E7" i="4"/>
  <c r="E31" i="4" s="1"/>
  <c r="D7" i="4"/>
  <c r="D31" i="4" s="1"/>
  <c r="C7" i="4"/>
  <c r="C31" i="4" s="1"/>
  <c r="M6" i="4"/>
  <c r="I5" i="4"/>
  <c r="I29" i="4" s="1"/>
  <c r="H5" i="4"/>
  <c r="H29" i="4" s="1"/>
  <c r="E5" i="4"/>
  <c r="E29" i="4" s="1"/>
  <c r="D5" i="4"/>
  <c r="D29" i="4" s="1"/>
  <c r="L4" i="4"/>
  <c r="L28" i="4" s="1"/>
  <c r="K4" i="4"/>
  <c r="K28" i="4" s="1"/>
  <c r="I4" i="4"/>
  <c r="I28" i="4" s="1"/>
  <c r="G4" i="4"/>
  <c r="G28" i="4" s="1"/>
  <c r="F4" i="4"/>
  <c r="F28" i="4" s="1"/>
  <c r="D4" i="4"/>
  <c r="D28" i="4" s="1"/>
  <c r="K3" i="4"/>
  <c r="K27" i="4" s="1"/>
  <c r="J3" i="4"/>
  <c r="J9" i="4" s="1"/>
  <c r="C27" i="4"/>
  <c r="C35" i="4" l="1"/>
  <c r="L13" i="5"/>
  <c r="I16" i="5"/>
  <c r="F16" i="5"/>
  <c r="L7" i="5"/>
  <c r="L14" i="5"/>
  <c r="L10" i="5"/>
  <c r="L8" i="5"/>
  <c r="L11" i="5"/>
  <c r="L15" i="5"/>
  <c r="L9" i="5"/>
  <c r="L12" i="5"/>
  <c r="M27" i="4"/>
  <c r="F33" i="4"/>
  <c r="G23" i="19"/>
  <c r="L33" i="4"/>
  <c r="J33" i="4"/>
  <c r="D33" i="4"/>
  <c r="M31" i="4"/>
  <c r="E33" i="4"/>
  <c r="M32" i="4"/>
  <c r="H33" i="4"/>
  <c r="K33" i="4"/>
  <c r="M29" i="4"/>
  <c r="M28" i="4"/>
  <c r="M30" i="4"/>
  <c r="I33" i="4"/>
  <c r="G33" i="4"/>
  <c r="C33" i="4"/>
  <c r="G35" i="4"/>
  <c r="H35" i="4"/>
  <c r="E35" i="4"/>
  <c r="F9" i="4"/>
  <c r="M5" i="4"/>
  <c r="L21" i="4"/>
  <c r="M15" i="4"/>
  <c r="F21" i="4"/>
  <c r="D21" i="4"/>
  <c r="H9" i="4"/>
  <c r="G9" i="4"/>
  <c r="M8" i="4"/>
  <c r="M16" i="4"/>
  <c r="L9" i="4"/>
  <c r="M20" i="4"/>
  <c r="K9" i="4"/>
  <c r="G21" i="4"/>
  <c r="E21" i="4"/>
  <c r="M17" i="4"/>
  <c r="I21" i="4"/>
  <c r="K21" i="4"/>
  <c r="H21" i="4"/>
  <c r="M19" i="4"/>
  <c r="D9" i="4"/>
  <c r="C9" i="4"/>
  <c r="I9" i="4"/>
  <c r="E9" i="4"/>
  <c r="M7" i="4"/>
  <c r="M3" i="4"/>
  <c r="M4" i="4"/>
  <c r="L27" i="3"/>
  <c r="K3" i="3"/>
  <c r="K27" i="3" s="1"/>
  <c r="J3" i="3"/>
  <c r="J27" i="3" s="1"/>
  <c r="I5" i="3"/>
  <c r="I29" i="3" s="1"/>
  <c r="H27" i="3"/>
  <c r="H5" i="3"/>
  <c r="H29" i="3" s="1"/>
  <c r="F27" i="3"/>
  <c r="G15" i="3"/>
  <c r="G3" i="3"/>
  <c r="G27" i="3" s="1"/>
  <c r="E27" i="3"/>
  <c r="E7" i="3"/>
  <c r="E5" i="3"/>
  <c r="E29" i="3" s="1"/>
  <c r="L16" i="5" l="1"/>
  <c r="M33" i="4"/>
  <c r="M21" i="4"/>
  <c r="M9" i="4"/>
  <c r="C3" i="25"/>
  <c r="C2" i="25"/>
  <c r="C5" i="25" s="1"/>
  <c r="E36" i="25" l="1"/>
  <c r="I20" i="25"/>
  <c r="O33" i="4"/>
  <c r="H29" i="25"/>
  <c r="H28" i="25"/>
  <c r="H30" i="25"/>
  <c r="H27" i="25"/>
  <c r="H32" i="25"/>
  <c r="H34" i="25"/>
  <c r="H26" i="25"/>
  <c r="H33" i="25"/>
  <c r="H25" i="25"/>
  <c r="H31" i="25"/>
  <c r="G36" i="25"/>
  <c r="H36" i="25" s="1"/>
  <c r="E20" i="25"/>
  <c r="D17" i="3"/>
  <c r="D5" i="3"/>
  <c r="D29" i="3" s="1"/>
  <c r="D27" i="3"/>
  <c r="C27" i="3"/>
  <c r="H14" i="25" l="1"/>
  <c r="G16" i="25"/>
  <c r="J20" i="25"/>
  <c r="H13" i="25"/>
  <c r="G15" i="25"/>
  <c r="H12" i="25"/>
  <c r="G14" i="25"/>
  <c r="H11" i="25"/>
  <c r="G13" i="25"/>
  <c r="H16" i="25"/>
  <c r="G10" i="25"/>
  <c r="H15" i="25"/>
  <c r="G9" i="25"/>
  <c r="H18" i="25"/>
  <c r="H10" i="25"/>
  <c r="G12" i="25"/>
  <c r="H17" i="25"/>
  <c r="H9" i="25"/>
  <c r="G11" i="25"/>
  <c r="G18" i="25"/>
  <c r="G17" i="25"/>
  <c r="D30" i="25"/>
  <c r="D29" i="25"/>
  <c r="D28" i="25"/>
  <c r="D27" i="25"/>
  <c r="D31" i="25"/>
  <c r="D34" i="25"/>
  <c r="D26" i="25"/>
  <c r="D33" i="25"/>
  <c r="D25" i="25"/>
  <c r="D32" i="25"/>
  <c r="M27" i="3"/>
  <c r="J33" i="3"/>
  <c r="M30" i="3"/>
  <c r="C30" i="25" l="1"/>
  <c r="C31" i="25" l="1"/>
  <c r="C25" i="25"/>
  <c r="C27" i="25"/>
  <c r="C34" i="25"/>
  <c r="C32" i="25"/>
  <c r="C28" i="25"/>
  <c r="C33" i="25"/>
  <c r="C26" i="25"/>
  <c r="C29" i="25"/>
  <c r="G35" i="25" l="1"/>
  <c r="C35" i="25" l="1"/>
  <c r="H35" i="25" l="1"/>
  <c r="L11" i="4" l="1"/>
  <c r="L4" i="3"/>
  <c r="K4" i="3"/>
  <c r="I7" i="3"/>
  <c r="I4" i="3"/>
  <c r="H7" i="3"/>
  <c r="F11" i="4"/>
  <c r="E8" i="3"/>
  <c r="G4" i="3"/>
  <c r="D7" i="3"/>
  <c r="D4" i="3"/>
  <c r="E13" i="6" l="1"/>
  <c r="G8" i="3"/>
  <c r="L7" i="3"/>
  <c r="G7" i="3"/>
  <c r="F7" i="3"/>
  <c r="E9" i="3"/>
  <c r="C7" i="3"/>
  <c r="M6" i="3"/>
  <c r="M5" i="3"/>
  <c r="K9" i="3"/>
  <c r="J9" i="3"/>
  <c r="I9" i="3"/>
  <c r="H9" i="3"/>
  <c r="F4" i="3"/>
  <c r="M3" i="3"/>
  <c r="F9" i="3" l="1"/>
  <c r="C9" i="3"/>
  <c r="L9" i="3"/>
  <c r="G9" i="3"/>
  <c r="M11" i="4"/>
  <c r="M4" i="3"/>
  <c r="M8" i="3"/>
  <c r="M7" i="3"/>
  <c r="D9" i="3"/>
  <c r="M9" i="3" l="1"/>
  <c r="L23" i="4" l="1"/>
  <c r="L16" i="3"/>
  <c r="L28" i="3" s="1"/>
  <c r="K23" i="4"/>
  <c r="K16" i="3"/>
  <c r="K28" i="3" s="1"/>
  <c r="J23" i="4"/>
  <c r="I16" i="3"/>
  <c r="I28" i="3" s="1"/>
  <c r="G28" i="3"/>
  <c r="D16" i="3"/>
  <c r="D28" i="3" s="1"/>
  <c r="F23" i="4"/>
  <c r="K35" i="4" l="1"/>
  <c r="F35" i="4"/>
  <c r="J35" i="4"/>
  <c r="L35" i="4"/>
  <c r="F16" i="3"/>
  <c r="F28" i="3" s="1"/>
  <c r="M28" i="3" l="1"/>
  <c r="M35" i="4"/>
  <c r="F13" i="6" l="1"/>
  <c r="E28" i="25" l="1"/>
  <c r="F28" i="25" s="1"/>
  <c r="E29" i="25"/>
  <c r="F29" i="25" s="1"/>
  <c r="E30" i="25"/>
  <c r="F30" i="25" s="1"/>
  <c r="E34" i="25"/>
  <c r="F34" i="25" s="1"/>
  <c r="E32" i="25"/>
  <c r="F32" i="25" s="1"/>
  <c r="E33" i="25"/>
  <c r="F33" i="25" s="1"/>
  <c r="E25" i="25"/>
  <c r="F25" i="25" s="1"/>
  <c r="E31" i="25"/>
  <c r="F31" i="25" s="1"/>
  <c r="E27" i="25"/>
  <c r="F27" i="25" s="1"/>
  <c r="E26" i="25"/>
  <c r="F26" i="25" s="1"/>
  <c r="M23" i="4"/>
  <c r="G20" i="3"/>
  <c r="G32" i="3" s="1"/>
  <c r="E20" i="3"/>
  <c r="E32" i="3" s="1"/>
  <c r="M32" i="3" s="1"/>
  <c r="L19" i="3"/>
  <c r="I19" i="3"/>
  <c r="H19" i="3"/>
  <c r="G19" i="3"/>
  <c r="G31" i="3" s="1"/>
  <c r="G33" i="3" s="1"/>
  <c r="F19" i="3"/>
  <c r="E19" i="3"/>
  <c r="E31" i="3" s="1"/>
  <c r="E33" i="3" s="1"/>
  <c r="D19" i="3"/>
  <c r="C19" i="3"/>
  <c r="M18" i="3"/>
  <c r="K17" i="3"/>
  <c r="J21" i="3"/>
  <c r="M15" i="3"/>
  <c r="M17" i="3" l="1"/>
  <c r="K29" i="3"/>
  <c r="C21" i="3"/>
  <c r="C31" i="3"/>
  <c r="D21" i="3"/>
  <c r="D31" i="3"/>
  <c r="D33" i="3" s="1"/>
  <c r="L21" i="3"/>
  <c r="L31" i="3"/>
  <c r="L33" i="3" s="1"/>
  <c r="F21" i="3"/>
  <c r="F31" i="3"/>
  <c r="F33" i="3" s="1"/>
  <c r="H21" i="3"/>
  <c r="H31" i="3"/>
  <c r="H33" i="3" s="1"/>
  <c r="I21" i="3"/>
  <c r="I31" i="3"/>
  <c r="I33" i="3" s="1"/>
  <c r="E35" i="25"/>
  <c r="F36" i="25" s="1"/>
  <c r="D35" i="25"/>
  <c r="M16" i="3"/>
  <c r="G21" i="3"/>
  <c r="K21" i="3"/>
  <c r="E21" i="3"/>
  <c r="M20" i="3"/>
  <c r="M19" i="3"/>
  <c r="M31" i="3" l="1"/>
  <c r="C33" i="3"/>
  <c r="M29" i="3"/>
  <c r="M33" i="3" s="1"/>
  <c r="K33" i="3"/>
  <c r="F35" i="25"/>
  <c r="M21" i="3"/>
  <c r="D16" i="25" l="1"/>
  <c r="D13" i="25"/>
  <c r="D11" i="25"/>
  <c r="D17" i="25"/>
  <c r="D9" i="25"/>
  <c r="D14" i="25"/>
  <c r="D15" i="25"/>
  <c r="D18" i="25"/>
  <c r="D12" i="25"/>
  <c r="D10" i="25"/>
  <c r="H19" i="25"/>
  <c r="D19" i="25" l="1"/>
  <c r="I13" i="25"/>
  <c r="J13" i="25" s="1"/>
  <c r="I12" i="25"/>
  <c r="J12" i="25" s="1"/>
  <c r="I17" i="25"/>
  <c r="J17" i="25" s="1"/>
  <c r="I14" i="25"/>
  <c r="J14" i="25" s="1"/>
  <c r="I16" i="25"/>
  <c r="J16" i="25" s="1"/>
  <c r="I11" i="25"/>
  <c r="J11" i="25" s="1"/>
  <c r="I15" i="25"/>
  <c r="J15" i="25" s="1"/>
  <c r="I10" i="25"/>
  <c r="J10" i="25" s="1"/>
  <c r="I18" i="25"/>
  <c r="J18" i="25" s="1"/>
  <c r="I9" i="25" l="1"/>
  <c r="G19" i="25"/>
  <c r="I19" i="25" l="1"/>
  <c r="J9" i="25"/>
  <c r="J19" i="25" s="1"/>
  <c r="F5" i="10" l="1"/>
  <c r="B14" i="10"/>
  <c r="C8" i="10" l="1"/>
  <c r="D14" i="10"/>
  <c r="D16" i="10"/>
  <c r="B16" i="10"/>
  <c r="D8" i="10"/>
  <c r="E10" i="10"/>
  <c r="E12" i="10"/>
  <c r="E14" i="10"/>
  <c r="F14" i="10" s="1"/>
  <c r="E16" i="10"/>
  <c r="B12" i="10"/>
  <c r="E8" i="10"/>
  <c r="B9" i="10"/>
  <c r="C11" i="10"/>
  <c r="C13" i="10"/>
  <c r="C15" i="10"/>
  <c r="C17" i="10"/>
  <c r="B11" i="10"/>
  <c r="B13" i="10"/>
  <c r="B15" i="10"/>
  <c r="B17" i="10"/>
  <c r="C9" i="10"/>
  <c r="D11" i="10"/>
  <c r="D13" i="10"/>
  <c r="D15" i="10"/>
  <c r="D17" i="10"/>
  <c r="E9" i="10"/>
  <c r="B8" i="10"/>
  <c r="D9" i="10"/>
  <c r="E11" i="10"/>
  <c r="E13" i="10"/>
  <c r="E15" i="10"/>
  <c r="E17" i="10"/>
  <c r="C14" i="10"/>
  <c r="C16" i="10"/>
  <c r="B10" i="10"/>
  <c r="D12" i="10"/>
  <c r="C12" i="10"/>
  <c r="D10" i="10"/>
  <c r="C10" i="10"/>
  <c r="F17" i="10" l="1"/>
  <c r="F15" i="10"/>
  <c r="F13" i="10"/>
  <c r="F11" i="10"/>
  <c r="F8" i="10"/>
  <c r="F9" i="10"/>
  <c r="F16" i="10"/>
  <c r="F10" i="10"/>
  <c r="F12" i="10"/>
  <c r="F18" i="10" l="1"/>
  <c r="C17" i="25" s="1"/>
  <c r="C9" i="25" l="1"/>
  <c r="C14" i="25"/>
  <c r="E14" i="25" s="1"/>
  <c r="F14" i="25" s="1"/>
  <c r="C13" i="25"/>
  <c r="E13" i="25" s="1"/>
  <c r="F13" i="25" s="1"/>
  <c r="C11" i="25"/>
  <c r="E11" i="25" s="1"/>
  <c r="F11" i="25" s="1"/>
  <c r="C12" i="25"/>
  <c r="E12" i="25" s="1"/>
  <c r="F12" i="25" s="1"/>
  <c r="C18" i="25"/>
  <c r="E18" i="25" s="1"/>
  <c r="F18" i="25" s="1"/>
  <c r="C16" i="25"/>
  <c r="E16" i="25" s="1"/>
  <c r="F16" i="25" s="1"/>
  <c r="C15" i="25"/>
  <c r="E15" i="25" s="1"/>
  <c r="F15" i="25" s="1"/>
  <c r="C10" i="25"/>
  <c r="E10" i="25" s="1"/>
  <c r="F10" i="25" s="1"/>
  <c r="E17" i="25"/>
  <c r="F17" i="25" s="1"/>
  <c r="J30" i="25" l="1"/>
  <c r="F18" i="26" s="1"/>
  <c r="G18" i="26" s="1"/>
  <c r="J34" i="25"/>
  <c r="F22" i="26" s="1"/>
  <c r="J29" i="25"/>
  <c r="F17" i="26" s="1"/>
  <c r="J32" i="25"/>
  <c r="F20" i="26" s="1"/>
  <c r="J26" i="25"/>
  <c r="F14" i="26" s="1"/>
  <c r="J33" i="25"/>
  <c r="F21" i="26" s="1"/>
  <c r="J31" i="25"/>
  <c r="F19" i="26" s="1"/>
  <c r="J28" i="25"/>
  <c r="F16" i="26" s="1"/>
  <c r="J27" i="25"/>
  <c r="F15" i="26" s="1"/>
  <c r="G19" i="26" l="1"/>
  <c r="G17" i="26"/>
  <c r="G16" i="26"/>
  <c r="G21" i="26"/>
  <c r="G14" i="26"/>
  <c r="G22" i="26"/>
  <c r="G20" i="26"/>
  <c r="G15" i="26"/>
  <c r="C18" i="26"/>
  <c r="E18" i="26" s="1"/>
  <c r="D18" i="26"/>
  <c r="N31" i="25"/>
  <c r="E18" i="19"/>
  <c r="N27" i="25"/>
  <c r="E14" i="19"/>
  <c r="N30" i="25"/>
  <c r="E17" i="19"/>
  <c r="N28" i="25"/>
  <c r="E15" i="19"/>
  <c r="N33" i="25"/>
  <c r="E20" i="19"/>
  <c r="N26" i="25"/>
  <c r="E13" i="19"/>
  <c r="N32" i="25"/>
  <c r="E19" i="19"/>
  <c r="N29" i="25"/>
  <c r="E16" i="19"/>
  <c r="N34" i="25"/>
  <c r="E21" i="19"/>
  <c r="C19" i="25"/>
  <c r="E9" i="25"/>
  <c r="E19" i="25" s="1"/>
  <c r="C20" i="26" l="1"/>
  <c r="E20" i="26" s="1"/>
  <c r="D20" i="26"/>
  <c r="C16" i="26"/>
  <c r="E16" i="26" s="1"/>
  <c r="D16" i="26"/>
  <c r="C21" i="26"/>
  <c r="E21" i="26" s="1"/>
  <c r="D21" i="26"/>
  <c r="E15" i="26"/>
  <c r="D15" i="26"/>
  <c r="C15" i="26"/>
  <c r="C17" i="26"/>
  <c r="E17" i="26" s="1"/>
  <c r="D17" i="26"/>
  <c r="C22" i="26"/>
  <c r="E22" i="26" s="1"/>
  <c r="D22" i="26"/>
  <c r="C14" i="26"/>
  <c r="E14" i="26" s="1"/>
  <c r="D14" i="26"/>
  <c r="C19" i="26"/>
  <c r="E19" i="26" s="1"/>
  <c r="D19" i="26"/>
  <c r="F16" i="19"/>
  <c r="C16" i="19" s="1"/>
  <c r="D16" i="19" s="1"/>
  <c r="F19" i="19"/>
  <c r="C19" i="19" s="1"/>
  <c r="D19" i="19" s="1"/>
  <c r="F15" i="19"/>
  <c r="C15" i="19" s="1"/>
  <c r="D15" i="19" s="1"/>
  <c r="F17" i="19"/>
  <c r="C17" i="19" s="1"/>
  <c r="D17" i="19" s="1"/>
  <c r="F13" i="19"/>
  <c r="C13" i="19" s="1"/>
  <c r="D13" i="19" s="1"/>
  <c r="F14" i="19"/>
  <c r="C14" i="19" s="1"/>
  <c r="D14" i="19" s="1"/>
  <c r="F21" i="19"/>
  <c r="F20" i="19"/>
  <c r="C20" i="19" s="1"/>
  <c r="D20" i="19" s="1"/>
  <c r="F18" i="19"/>
  <c r="C18" i="19" s="1"/>
  <c r="D18" i="19" s="1"/>
  <c r="J35" i="25"/>
  <c r="F20" i="25"/>
  <c r="F9" i="25"/>
  <c r="F19" i="25" s="1"/>
  <c r="J25" i="25"/>
  <c r="E12" i="19" l="1"/>
  <c r="F13" i="26"/>
  <c r="F12" i="19"/>
  <c r="C12" i="19" s="1"/>
  <c r="E23" i="19"/>
  <c r="H12" i="19" s="1"/>
  <c r="C21" i="19"/>
  <c r="D21" i="19" s="1"/>
  <c r="K25" i="25"/>
  <c r="N25" i="25"/>
  <c r="K31" i="25"/>
  <c r="K28" i="25"/>
  <c r="K27" i="25"/>
  <c r="K32" i="25"/>
  <c r="K34" i="25"/>
  <c r="K33" i="25"/>
  <c r="K29" i="25"/>
  <c r="K26" i="25"/>
  <c r="N35" i="25"/>
  <c r="K35" i="25"/>
  <c r="K30" i="25"/>
  <c r="G13" i="26" l="1"/>
  <c r="F24" i="26"/>
  <c r="I13" i="26"/>
  <c r="D12" i="19"/>
  <c r="D23" i="19" s="1"/>
  <c r="C23" i="19"/>
  <c r="F23" i="19"/>
  <c r="H22" i="19"/>
  <c r="H16" i="19"/>
  <c r="H18" i="19"/>
  <c r="H19" i="19"/>
  <c r="H13" i="19"/>
  <c r="H21" i="19"/>
  <c r="H17" i="19"/>
  <c r="H20" i="19"/>
  <c r="H14" i="19"/>
  <c r="H15" i="19"/>
  <c r="I18" i="26" l="1"/>
  <c r="I23" i="26"/>
  <c r="I22" i="26"/>
  <c r="I15" i="26"/>
  <c r="I19" i="26"/>
  <c r="I14" i="26"/>
  <c r="I16" i="26"/>
  <c r="I17" i="26"/>
  <c r="I20" i="26"/>
  <c r="I21" i="26"/>
  <c r="D13" i="26"/>
  <c r="D24" i="26" s="1"/>
  <c r="C13" i="26"/>
  <c r="G24" i="26"/>
  <c r="H23" i="19"/>
  <c r="I24" i="26" l="1"/>
  <c r="C24" i="26"/>
  <c r="E13" i="26"/>
  <c r="E24" i="26" s="1"/>
</calcChain>
</file>

<file path=xl/sharedStrings.xml><?xml version="1.0" encoding="utf-8"?>
<sst xmlns="http://schemas.openxmlformats.org/spreadsheetml/2006/main" count="435" uniqueCount="135">
  <si>
    <t>I alt</t>
  </si>
  <si>
    <t>Ansgar</t>
  </si>
  <si>
    <t>Bellahøj-Utterslev</t>
  </si>
  <si>
    <t>Brønshøj</t>
  </si>
  <si>
    <t>Emdrup</t>
  </si>
  <si>
    <t>Grundtvigs</t>
  </si>
  <si>
    <t>Husum</t>
  </si>
  <si>
    <t>Husumvold</t>
  </si>
  <si>
    <t>Tingbjerg</t>
  </si>
  <si>
    <t>Grundbeløb pr. MR (50%)</t>
  </si>
  <si>
    <t>Beløb baseret på antal indbyggere (50%)</t>
  </si>
  <si>
    <t>Beløb baseret på antal gudstj.,hand-linger og mk/ konf. (25%)</t>
  </si>
  <si>
    <t>Beløb baseret på 'kan'-ting (30%)</t>
  </si>
  <si>
    <t>Beløb baseret på antal 'skal'-ting (70%)</t>
  </si>
  <si>
    <t>m2</t>
  </si>
  <si>
    <t>Kapernaum</t>
  </si>
  <si>
    <t>Tagensbo</t>
  </si>
  <si>
    <t>Handlinger i kirken</t>
  </si>
  <si>
    <t>Grundtvig</t>
  </si>
  <si>
    <t>Husum-vold</t>
  </si>
  <si>
    <t>I alt i provstiet</t>
  </si>
  <si>
    <t>Gudstjenester x 1</t>
  </si>
  <si>
    <t>Andagter x 1/2</t>
  </si>
  <si>
    <t>Vielser/velsignelser</t>
  </si>
  <si>
    <t>Bisættelser/begravelser</t>
  </si>
  <si>
    <t>Konfirmandhold x 24</t>
  </si>
  <si>
    <t>Minikonfirmandhold x 8</t>
  </si>
  <si>
    <t>Noter:</t>
  </si>
  <si>
    <t>Præstens samtaler hører under standard, som alle kirker har.</t>
  </si>
  <si>
    <t>Antal deltagere i 'skal'-ting</t>
  </si>
  <si>
    <t xml:space="preserve">Antal indbyggere pr. 1. januar </t>
  </si>
  <si>
    <t xml:space="preserve">Antal koncerter og andre aktiviteter, statistik </t>
  </si>
  <si>
    <t>udg. 2.0/ 14.03.2017</t>
  </si>
  <si>
    <t>ved Johanne Haastrup</t>
  </si>
  <si>
    <t>Kalkulationsark for fordeling af udligningsmidler</t>
  </si>
  <si>
    <t>Primære arealer</t>
  </si>
  <si>
    <t>Sekundære arealer</t>
  </si>
  <si>
    <t>Tertiære arealer</t>
  </si>
  <si>
    <t>Kvartære arealer</t>
  </si>
  <si>
    <r>
      <t xml:space="preserve">Primære arealer er defineret ud fra en </t>
    </r>
    <r>
      <rPr>
        <b/>
        <u/>
        <sz val="10"/>
        <color theme="1"/>
        <rFont val="Calibri (Tekst)"/>
      </rPr>
      <t>daglig brug</t>
    </r>
    <r>
      <rPr>
        <sz val="10"/>
        <color theme="1"/>
        <rFont val="Calibri"/>
        <family val="2"/>
        <scheme val="minor"/>
      </rPr>
      <t xml:space="preserve">, med krav til et </t>
    </r>
    <r>
      <rPr>
        <b/>
        <u/>
        <sz val="10"/>
        <color theme="1"/>
        <rFont val="Calibri (Tekst)"/>
      </rPr>
      <t>høj frekvens af rengøring.</t>
    </r>
    <r>
      <rPr>
        <sz val="10"/>
        <color theme="1"/>
        <rFont val="Calibri"/>
        <family val="2"/>
        <scheme val="minor"/>
      </rPr>
      <t xml:space="preserve"> 
Det er områder med et højt niveau af slid og omkostninger til drift og vedligehold.</t>
    </r>
  </si>
  <si>
    <r>
      <t xml:space="preserve">Tertiære arealer er defineret ud fra en </t>
    </r>
    <r>
      <rPr>
        <b/>
        <u/>
        <sz val="10"/>
        <color theme="1"/>
        <rFont val="Calibri (Tekst)"/>
      </rPr>
      <t>sekundær funktion</t>
    </r>
    <r>
      <rPr>
        <sz val="10"/>
        <color theme="1"/>
        <rFont val="Calibri"/>
        <family val="2"/>
        <scheme val="minor"/>
      </rPr>
      <t xml:space="preserve">, (støtte funktion), med krav til en </t>
    </r>
    <r>
      <rPr>
        <b/>
        <u/>
        <sz val="10"/>
        <color theme="1"/>
        <rFont val="Calibri (Tekst)"/>
      </rPr>
      <t>minimal frekvens af rengøring.</t>
    </r>
    <r>
      <rPr>
        <sz val="10"/>
        <color theme="1"/>
        <rFont val="Calibri"/>
        <family val="2"/>
        <scheme val="minor"/>
      </rPr>
      <t xml:space="preserve"> 
Det er områder med et minimalt niveau af slid og omkostninger til drift og vedligehold. </t>
    </r>
  </si>
  <si>
    <t xml:space="preserve">Kvartære arealer er defineret ud fra arealer, som i dag ikke kvalificerer til udligningsmidler, men hvor der kan være anseelige omkostninger ifm. daglig drift og vedligehold. </t>
  </si>
  <si>
    <t>Udgangspunkt:</t>
  </si>
  <si>
    <t>Kirkerum</t>
  </si>
  <si>
    <t>Pulpitur</t>
  </si>
  <si>
    <t>Depot og lager</t>
  </si>
  <si>
    <t>Udendørsarealer</t>
  </si>
  <si>
    <t>Kontorer</t>
  </si>
  <si>
    <t>Kapeller</t>
  </si>
  <si>
    <t>Varmecentral/teknik</t>
  </si>
  <si>
    <t>Mødelokaler/sale</t>
  </si>
  <si>
    <t>Museer</t>
  </si>
  <si>
    <t>Arkiver</t>
  </si>
  <si>
    <t>Fællesfaciliteter</t>
  </si>
  <si>
    <t>Ligrum</t>
  </si>
  <si>
    <t>Skure</t>
  </si>
  <si>
    <t>Opholdsrum</t>
  </si>
  <si>
    <t>Tårn</t>
  </si>
  <si>
    <t>Våbenhus</t>
  </si>
  <si>
    <t>Lofter</t>
  </si>
  <si>
    <t>Venterum</t>
  </si>
  <si>
    <t>Kisterum</t>
  </si>
  <si>
    <t>Kirke og sognegård under samme tag.</t>
  </si>
  <si>
    <t>Kirke</t>
  </si>
  <si>
    <t xml:space="preserve">Fordeling af m2 </t>
  </si>
  <si>
    <t>Tallene baseres på sammentællinger fra ark 'ny m2 rådata'</t>
  </si>
  <si>
    <t>Vægtning</t>
  </si>
  <si>
    <t>kontrol, sum skal være 100</t>
  </si>
  <si>
    <t>sum</t>
  </si>
  <si>
    <t>total i provsti</t>
  </si>
  <si>
    <t>Ny m2 Grundbeløb ift. grundareal (75%)</t>
  </si>
  <si>
    <t>Socialrådgiver</t>
  </si>
  <si>
    <t>Bevilling til fordeling</t>
  </si>
  <si>
    <t>Pct. fordeling</t>
  </si>
  <si>
    <r>
      <t xml:space="preserve">BBP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- til formål 2, 'skal'-ting</t>
    </r>
  </si>
  <si>
    <t>BBP 2018 - til formål 3, 'skal'-ting</t>
  </si>
  <si>
    <t>til 2018-tal</t>
  </si>
  <si>
    <t>Hospitalspræster</t>
  </si>
  <si>
    <t>Bevilling BU, i alt</t>
  </si>
  <si>
    <r>
      <t xml:space="preserve">BBP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- til formål 2, 'skal'-ting</t>
    </r>
  </si>
  <si>
    <t>til 2019-tal</t>
  </si>
  <si>
    <t>BBP 2019 - til formål 3, 'skal'-ting</t>
  </si>
  <si>
    <r>
      <t xml:space="preserve">Sekundære arealer er defineret ud fra en (ca.) </t>
    </r>
    <r>
      <rPr>
        <b/>
        <u/>
        <sz val="10"/>
        <color theme="1"/>
        <rFont val="Calibri (Tekst)"/>
      </rPr>
      <t>ugentlig brug</t>
    </r>
    <r>
      <rPr>
        <sz val="10"/>
        <color theme="1"/>
        <rFont val="Calibri"/>
        <family val="2"/>
        <scheme val="minor"/>
      </rPr>
      <t xml:space="preserve">, med krav til en </t>
    </r>
    <r>
      <rPr>
        <b/>
        <u/>
        <sz val="10"/>
        <color theme="1"/>
        <rFont val="Calibri (Tekst)"/>
      </rPr>
      <t>mindre frekvens af rengøring.</t>
    </r>
    <r>
      <rPr>
        <sz val="10"/>
        <color theme="1"/>
        <rFont val="Calibri"/>
        <family val="2"/>
        <scheme val="minor"/>
      </rPr>
      <t xml:space="preserve"> 
Det er områder med lavere niveau af slid og omkostninger til drift og vedligehold.</t>
    </r>
  </si>
  <si>
    <t>Difference budget 24 ift. bevilling for 2021   - i tal</t>
  </si>
  <si>
    <t>%-fordeling 2021</t>
  </si>
  <si>
    <t>%-fordeling 2024</t>
  </si>
  <si>
    <t>Formål 2, Kirkebygning og sognegård, 28%</t>
  </si>
  <si>
    <t>Formål 6, Administration, 22%</t>
  </si>
  <si>
    <t>Lignings-beløb til drift 2021</t>
  </si>
  <si>
    <t>Formål 5, Præsteboliger, 1,67%</t>
  </si>
  <si>
    <t>Formål 3, Kirkelige aktiviteter, 48,33%</t>
  </si>
  <si>
    <t>Bispebjerg-Brønshøj Provsti - oversigt over bevillinger 2021-2024</t>
  </si>
  <si>
    <t>Gennemsnit 18-19-19</t>
  </si>
  <si>
    <t xml:space="preserve">Tallet i Gudstjenester til formål 2 pkt. 4 i statistikken minus babysalmesang uanset om det er med eller uden præst. </t>
  </si>
  <si>
    <t xml:space="preserve">Tallet i Vielser/velsignelser til formål 2 pkt. 9 i statistikken minus vielser/velsignelser uden for kirkens rum. </t>
  </si>
  <si>
    <t>Samlet i provstiet til fordeling 22</t>
  </si>
  <si>
    <t>Omfordelingspulje (2%)</t>
  </si>
  <si>
    <t>Særbev. til hospitalspr. og soc.rådg.</t>
  </si>
  <si>
    <t>Bispebjerg-Brønshøj Provsti</t>
  </si>
  <si>
    <t>Gennemsnit 18-19-19 - til formål 3, 'skal'-ting</t>
  </si>
  <si>
    <t xml:space="preserve">Da formål 2 handler om brug og vedligehold af kirkebygning tæller gudstjenester andetsteds (pkt. 6 i statistikskemaet) ikke med her. </t>
  </si>
  <si>
    <t xml:space="preserve">Desuden: Tallet i Gudstjenester til formål 2 pkt. 4 i statistikken minus babysalmesang uanset om det er med eller uden præst. </t>
  </si>
  <si>
    <t xml:space="preserve">Vielser/velsignelser uden for kirkens rum (pkt. 9, 2 i statistikskemaet) tælles ikke med. </t>
  </si>
  <si>
    <t>Ting-bjerg</t>
  </si>
  <si>
    <t>Mødeaktivitet defineres i statistik 18 og 19 ud fra flg. kriterier:</t>
  </si>
  <si>
    <t>Babysalmesang tælles med her.</t>
  </si>
  <si>
    <t>Koncerter tælles med her.</t>
  </si>
  <si>
    <t>MR-møder, udvalgsmøder mm. hører under standard, som alle kirker har.</t>
  </si>
  <si>
    <t>antal aktiviteter i statistik</t>
  </si>
  <si>
    <t>Gennemsnit</t>
  </si>
  <si>
    <t>I alt model 18-19-19</t>
  </si>
  <si>
    <t>I alt %-fordeling 18-19-19</t>
  </si>
  <si>
    <t>I alt bevilget budget 2021</t>
  </si>
  <si>
    <t xml:space="preserve">%-fordeling budget 2021 </t>
  </si>
  <si>
    <t>Hospitalspr+soc.rådg.</t>
  </si>
  <si>
    <t>Budget 2023 - beskæring/mertildeling implementeret med 2/3 minus fremskr.</t>
  </si>
  <si>
    <t>Budget 2024 - beskæring/ mertildeling implementeret med 3/3 minus fremskr.</t>
  </si>
  <si>
    <t>Budget 2022 - beskæring/mertildeling implementeret med 1/3 minus fremskr.</t>
  </si>
  <si>
    <t>Kr. 95.000,- særlig bevilling til provstiets hospitalspræstebetjening lægges i PUK</t>
  </si>
  <si>
    <t>Kr. 200.000,-særlig bevilling til provstiets socialrådgivertjeneste lægges i Tingbjerg.</t>
  </si>
  <si>
    <t>Pct. for-deling</t>
  </si>
  <si>
    <t xml:space="preserve">Formål 3 handler om kirkekassens udgifter til personale. Det betyder, at:  </t>
  </si>
  <si>
    <t>Gudstjenester andetsteds tælles med her.</t>
  </si>
  <si>
    <t>Bispebjerg-Brønshøjmodellen - statistiktal 2018-2019-2019 - med korrigeret statistik</t>
  </si>
  <si>
    <t>Omfordelingspulje = fremskrivning</t>
  </si>
  <si>
    <t>Nye m2 tal - indvendige mål og anvendelse bekræftet af MR. Korrigeret</t>
  </si>
  <si>
    <t>statistik Ansgar. Uden brøk for antal deltagere.</t>
  </si>
  <si>
    <t xml:space="preserve">Tallet i Bisættelser/begravelser til formål 2: 2019 pkt. 10b 1+2, 2018 10b 2 </t>
  </si>
  <si>
    <t>Spejdere/FDF tælles ikke med.</t>
  </si>
  <si>
    <t>Aktiviteter, der tælles med, skal have kirken som afsender, dvs. ikke udlejning og udlån.</t>
  </si>
  <si>
    <t>Fremover gælder denne skelne også kirkens eget kor, selvom det for statistiktallene for budget 22</t>
  </si>
  <si>
    <t>gælder, at alt kor er talt med.</t>
  </si>
  <si>
    <t>Socialrådgivning tælles med.</t>
  </si>
  <si>
    <t>Aktivitetspulje</t>
  </si>
  <si>
    <t>Budget 22 implementeret 1/3 , minus fremskrivning, og ved tilbageholdelse af 1 % til pulje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</si>
</sst>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_-* #,##0\ _k_r_._-;\-* #,##0\ _k_r_._-;_-* &quot;-&quot;??\ _k_r_._-;_-@_-"/>
    <numFmt numFmtId="167" formatCode="_ * #,##0.00000000000_ ;_ * \-#,##0.000000000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u/>
      <sz val="10"/>
      <color theme="1"/>
      <name val="Calibri (Tekst)"/>
    </font>
    <font>
      <u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165" fontId="0" fillId="0" borderId="0" xfId="1" applyNumberFormat="1" applyFont="1"/>
    <xf numFmtId="0" fontId="2" fillId="0" borderId="0" xfId="0" applyFont="1"/>
    <xf numFmtId="165" fontId="2" fillId="0" borderId="0" xfId="1" applyNumberFormat="1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vertical="top" wrapText="1"/>
    </xf>
    <xf numFmtId="165" fontId="0" fillId="0" borderId="0" xfId="0" applyNumberForma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165" fontId="0" fillId="0" borderId="0" xfId="1" applyNumberFormat="1" applyFont="1" applyFill="1"/>
    <xf numFmtId="165" fontId="2" fillId="0" borderId="0" xfId="1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 wrapText="1"/>
    </xf>
    <xf numFmtId="1" fontId="0" fillId="0" borderId="0" xfId="0" applyNumberFormat="1" applyFill="1"/>
    <xf numFmtId="0" fontId="8" fillId="0" borderId="0" xfId="0" applyFont="1"/>
    <xf numFmtId="0" fontId="9" fillId="0" borderId="0" xfId="0" applyFont="1" applyAlignment="1">
      <alignment horizontal="right" vertical="top"/>
    </xf>
    <xf numFmtId="0" fontId="9" fillId="0" borderId="0" xfId="0" applyFont="1"/>
    <xf numFmtId="0" fontId="10" fillId="3" borderId="0" xfId="0" applyFont="1" applyFill="1" applyAlignment="1">
      <alignment horizontal="center"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2" fillId="0" borderId="4" xfId="0" applyFont="1" applyBorder="1"/>
    <xf numFmtId="0" fontId="12" fillId="0" borderId="0" xfId="0" applyFont="1" applyBorder="1"/>
    <xf numFmtId="0" fontId="13" fillId="0" borderId="5" xfId="0" applyFont="1" applyBorder="1"/>
    <xf numFmtId="0" fontId="9" fillId="0" borderId="0" xfId="0" applyFont="1" applyBorder="1"/>
    <xf numFmtId="0" fontId="0" fillId="0" borderId="5" xfId="0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3" borderId="9" xfId="0" applyFont="1" applyFill="1" applyBorder="1"/>
    <xf numFmtId="0" fontId="2" fillId="3" borderId="10" xfId="0" applyFont="1" applyFill="1" applyBorder="1"/>
    <xf numFmtId="0" fontId="9" fillId="3" borderId="10" xfId="0" applyFont="1" applyFill="1" applyBorder="1"/>
    <xf numFmtId="0" fontId="2" fillId="3" borderId="1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9" fillId="0" borderId="7" xfId="0" applyFont="1" applyBorder="1"/>
    <xf numFmtId="0" fontId="14" fillId="0" borderId="8" xfId="0" applyFont="1" applyBorder="1"/>
    <xf numFmtId="0" fontId="2" fillId="0" borderId="0" xfId="0" applyFont="1" applyBorder="1"/>
    <xf numFmtId="0" fontId="7" fillId="0" borderId="0" xfId="0" applyFont="1" applyAlignment="1"/>
    <xf numFmtId="0" fontId="0" fillId="0" borderId="0" xfId="0" applyFill="1"/>
    <xf numFmtId="2" fontId="14" fillId="0" borderId="8" xfId="0" applyNumberFormat="1" applyFont="1" applyBorder="1"/>
    <xf numFmtId="0" fontId="15" fillId="0" borderId="0" xfId="0" applyFont="1"/>
    <xf numFmtId="165" fontId="0" fillId="0" borderId="12" xfId="1" applyNumberFormat="1" applyFont="1" applyBorder="1"/>
    <xf numFmtId="165" fontId="20" fillId="0" borderId="0" xfId="1" applyNumberFormat="1" applyFont="1" applyAlignment="1"/>
    <xf numFmtId="165" fontId="2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164" fontId="0" fillId="0" borderId="0" xfId="0" applyNumberFormat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165" fontId="0" fillId="0" borderId="0" xfId="0" applyNumberFormat="1" applyFont="1" applyFill="1"/>
    <xf numFmtId="0" fontId="3" fillId="0" borderId="0" xfId="0" applyFont="1" applyFill="1" applyAlignment="1">
      <alignment horizontal="left" wrapText="1"/>
    </xf>
    <xf numFmtId="164" fontId="16" fillId="0" borderId="9" xfId="1" applyFont="1" applyFill="1" applyBorder="1" applyAlignment="1">
      <alignment wrapText="1"/>
    </xf>
    <xf numFmtId="164" fontId="17" fillId="0" borderId="12" xfId="1" applyFont="1" applyFill="1" applyBorder="1" applyAlignment="1"/>
    <xf numFmtId="165" fontId="17" fillId="0" borderId="12" xfId="1" applyNumberFormat="1" applyFont="1" applyFill="1" applyBorder="1" applyAlignment="1">
      <alignment horizontal="right"/>
    </xf>
    <xf numFmtId="164" fontId="17" fillId="0" borderId="12" xfId="1" applyFont="1" applyFill="1" applyBorder="1" applyAlignment="1">
      <alignment wrapText="1"/>
    </xf>
    <xf numFmtId="165" fontId="17" fillId="0" borderId="12" xfId="1" applyNumberFormat="1" applyFont="1" applyFill="1" applyBorder="1" applyAlignment="1">
      <alignment horizontal="right" wrapText="1"/>
    </xf>
    <xf numFmtId="165" fontId="18" fillId="0" borderId="12" xfId="1" applyNumberFormat="1" applyFont="1" applyFill="1" applyBorder="1" applyAlignment="1">
      <alignment wrapText="1"/>
    </xf>
    <xf numFmtId="165" fontId="18" fillId="0" borderId="12" xfId="1" applyNumberFormat="1" applyFont="1" applyFill="1" applyBorder="1" applyAlignment="1">
      <alignment horizontal="right" wrapText="1"/>
    </xf>
    <xf numFmtId="3" fontId="19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0" fillId="0" borderId="0" xfId="0" applyFont="1" applyAlignment="1"/>
    <xf numFmtId="0" fontId="2" fillId="4" borderId="0" xfId="0" applyFont="1" applyFill="1" applyAlignment="1">
      <alignment horizontal="left" wrapText="1"/>
    </xf>
    <xf numFmtId="164" fontId="0" fillId="4" borderId="0" xfId="1" applyNumberFormat="1" applyFont="1" applyFill="1"/>
    <xf numFmtId="165" fontId="2" fillId="4" borderId="0" xfId="1" applyNumberFormat="1" applyFont="1" applyFill="1"/>
    <xf numFmtId="0" fontId="21" fillId="0" borderId="0" xfId="0" applyFont="1" applyFill="1"/>
    <xf numFmtId="0" fontId="21" fillId="0" borderId="0" xfId="0" applyFont="1"/>
    <xf numFmtId="0" fontId="0" fillId="0" borderId="0" xfId="0" applyFill="1" applyAlignment="1">
      <alignment wrapText="1"/>
    </xf>
    <xf numFmtId="0" fontId="0" fillId="0" borderId="0" xfId="1" applyNumberFormat="1" applyFont="1"/>
    <xf numFmtId="165" fontId="0" fillId="0" borderId="0" xfId="0" applyNumberFormat="1" applyFont="1"/>
    <xf numFmtId="0" fontId="9" fillId="0" borderId="0" xfId="0" applyFont="1" applyAlignment="1"/>
    <xf numFmtId="164" fontId="17" fillId="0" borderId="11" xfId="1" applyFont="1" applyFill="1" applyBorder="1" applyAlignment="1">
      <alignment horizontal="left" wrapText="1"/>
    </xf>
    <xf numFmtId="164" fontId="0" fillId="0" borderId="11" xfId="1" applyNumberFormat="1" applyFont="1" applyFill="1" applyBorder="1"/>
    <xf numFmtId="0" fontId="0" fillId="6" borderId="0" xfId="0" applyFill="1"/>
    <xf numFmtId="165" fontId="6" fillId="0" borderId="0" xfId="0" applyNumberFormat="1" applyFont="1"/>
    <xf numFmtId="0" fontId="2" fillId="6" borderId="0" xfId="0" applyFont="1" applyFill="1"/>
    <xf numFmtId="165" fontId="0" fillId="0" borderId="11" xfId="1" applyNumberFormat="1" applyFont="1" applyBorder="1"/>
    <xf numFmtId="165" fontId="18" fillId="0" borderId="11" xfId="1" applyNumberFormat="1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/>
    <xf numFmtId="3" fontId="4" fillId="0" borderId="0" xfId="0" applyNumberFormat="1" applyFont="1"/>
    <xf numFmtId="165" fontId="2" fillId="0" borderId="0" xfId="0" applyNumberFormat="1" applyFont="1" applyAlignment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165" fontId="4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7" borderId="0" xfId="1" applyNumberFormat="1" applyFont="1" applyFill="1" applyAlignment="1">
      <alignment horizontal="left" wrapText="1"/>
    </xf>
    <xf numFmtId="165" fontId="0" fillId="7" borderId="0" xfId="1" applyNumberFormat="1" applyFont="1" applyFill="1"/>
    <xf numFmtId="164" fontId="0" fillId="7" borderId="0" xfId="1" applyNumberFormat="1" applyFont="1" applyFill="1"/>
    <xf numFmtId="165" fontId="2" fillId="7" borderId="0" xfId="1" applyNumberFormat="1" applyFont="1" applyFill="1"/>
    <xf numFmtId="164" fontId="2" fillId="7" borderId="0" xfId="1" applyNumberFormat="1" applyFont="1" applyFill="1"/>
    <xf numFmtId="0" fontId="2" fillId="8" borderId="0" xfId="0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/>
    <xf numFmtId="165" fontId="2" fillId="0" borderId="0" xfId="1" applyNumberFormat="1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9" borderId="0" xfId="0" applyFont="1" applyFill="1"/>
    <xf numFmtId="0" fontId="0" fillId="9" borderId="0" xfId="0" applyFill="1"/>
    <xf numFmtId="164" fontId="0" fillId="0" borderId="0" xfId="1" applyFont="1"/>
    <xf numFmtId="165" fontId="22" fillId="0" borderId="0" xfId="1" applyNumberFormat="1" applyFont="1" applyFill="1"/>
    <xf numFmtId="164" fontId="23" fillId="4" borderId="0" xfId="1" applyNumberFormat="1" applyFont="1" applyFill="1"/>
    <xf numFmtId="165" fontId="23" fillId="0" borderId="0" xfId="1" applyNumberFormat="1" applyFont="1" applyFill="1"/>
    <xf numFmtId="165" fontId="2" fillId="0" borderId="0" xfId="0" applyNumberFormat="1" applyFont="1"/>
    <xf numFmtId="164" fontId="0" fillId="0" borderId="0" xfId="0" applyNumberFormat="1" applyFont="1"/>
    <xf numFmtId="164" fontId="2" fillId="4" borderId="0" xfId="1" applyNumberFormat="1" applyFont="1" applyFill="1"/>
    <xf numFmtId="167" fontId="0" fillId="0" borderId="0" xfId="0" applyNumberFormat="1" applyFont="1"/>
    <xf numFmtId="164" fontId="2" fillId="0" borderId="0" xfId="0" applyNumberFormat="1" applyFont="1"/>
    <xf numFmtId="164" fontId="23" fillId="0" borderId="0" xfId="1" applyFont="1"/>
    <xf numFmtId="0" fontId="2" fillId="0" borderId="7" xfId="0" applyFont="1" applyBorder="1"/>
    <xf numFmtId="0" fontId="0" fillId="10" borderId="0" xfId="0" applyFill="1"/>
    <xf numFmtId="0" fontId="0" fillId="10" borderId="0" xfId="0" applyFill="1" applyAlignment="1">
      <alignment wrapText="1"/>
    </xf>
    <xf numFmtId="0" fontId="24" fillId="0" borderId="0" xfId="0" applyFont="1"/>
    <xf numFmtId="0" fontId="24" fillId="2" borderId="0" xfId="0" applyFont="1" applyFill="1"/>
    <xf numFmtId="0" fontId="24" fillId="6" borderId="0" xfId="0" applyFont="1" applyFill="1"/>
    <xf numFmtId="0" fontId="24" fillId="0" borderId="0" xfId="0" applyFont="1" applyAlignment="1">
      <alignment wrapText="1"/>
    </xf>
    <xf numFmtId="165" fontId="24" fillId="0" borderId="0" xfId="1" applyNumberFormat="1" applyFont="1"/>
    <xf numFmtId="0" fontId="0" fillId="10" borderId="0" xfId="0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Fill="1"/>
    <xf numFmtId="0" fontId="4" fillId="5" borderId="0" xfId="0" applyFont="1" applyFill="1"/>
    <xf numFmtId="165" fontId="28" fillId="0" borderId="0" xfId="0" applyNumberFormat="1" applyFont="1" applyAlignment="1"/>
    <xf numFmtId="165" fontId="29" fillId="0" borderId="0" xfId="0" applyNumberFormat="1" applyFont="1"/>
    <xf numFmtId="0" fontId="24" fillId="0" borderId="0" xfId="0" applyFont="1" applyAlignment="1">
      <alignment horizontal="right" wrapText="1"/>
    </xf>
    <xf numFmtId="165" fontId="6" fillId="0" borderId="0" xfId="1" applyNumberFormat="1" applyFont="1"/>
    <xf numFmtId="165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>
      <alignment horizontal="left"/>
    </xf>
    <xf numFmtId="0" fontId="2" fillId="8" borderId="0" xfId="0" applyFont="1" applyFill="1" applyAlignment="1">
      <alignment horizontal="left" wrapText="1"/>
    </xf>
    <xf numFmtId="2" fontId="4" fillId="8" borderId="0" xfId="0" applyNumberFormat="1" applyFont="1" applyFill="1" applyAlignment="1">
      <alignment horizontal="right"/>
    </xf>
    <xf numFmtId="2" fontId="4" fillId="8" borderId="0" xfId="0" applyNumberFormat="1" applyFont="1" applyFill="1"/>
    <xf numFmtId="2" fontId="3" fillId="8" borderId="0" xfId="0" applyNumberFormat="1" applyFont="1" applyFill="1"/>
    <xf numFmtId="166" fontId="4" fillId="8" borderId="0" xfId="0" applyNumberFormat="1" applyFont="1" applyFill="1" applyAlignment="1">
      <alignment horizontal="right"/>
    </xf>
    <xf numFmtId="166" fontId="4" fillId="8" borderId="0" xfId="0" applyNumberFormat="1" applyFont="1" applyFill="1"/>
    <xf numFmtId="165" fontId="0" fillId="0" borderId="13" xfId="1" applyNumberFormat="1" applyFont="1" applyFill="1" applyBorder="1"/>
    <xf numFmtId="0" fontId="0" fillId="0" borderId="9" xfId="0" applyBorder="1" applyAlignment="1">
      <alignment wrapText="1"/>
    </xf>
    <xf numFmtId="164" fontId="0" fillId="0" borderId="12" xfId="1" applyNumberFormat="1" applyFont="1" applyFill="1" applyBorder="1"/>
    <xf numFmtId="165" fontId="1" fillId="0" borderId="0" xfId="1" applyNumberFormat="1" applyFont="1"/>
    <xf numFmtId="0" fontId="2" fillId="0" borderId="0" xfId="1" applyNumberFormat="1" applyFont="1"/>
    <xf numFmtId="0" fontId="0" fillId="0" borderId="0" xfId="0"/>
    <xf numFmtId="165" fontId="2" fillId="0" borderId="12" xfId="1" applyNumberFormat="1" applyFont="1" applyBorder="1"/>
    <xf numFmtId="164" fontId="2" fillId="0" borderId="0" xfId="1" applyFont="1"/>
    <xf numFmtId="164" fontId="17" fillId="0" borderId="2" xfId="1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17" fillId="0" borderId="2" xfId="1" applyFont="1" applyFill="1" applyBorder="1" applyAlignment="1">
      <alignment horizontal="center" wrapText="1"/>
    </xf>
    <xf numFmtId="164" fontId="17" fillId="0" borderId="7" xfId="1" applyFont="1" applyFill="1" applyBorder="1" applyAlignment="1">
      <alignment horizontal="center" wrapText="1"/>
    </xf>
    <xf numFmtId="164" fontId="17" fillId="0" borderId="1" xfId="1" applyFont="1" applyFill="1" applyBorder="1" applyAlignment="1">
      <alignment horizontal="center" wrapText="1"/>
    </xf>
    <xf numFmtId="164" fontId="17" fillId="0" borderId="6" xfId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4" fillId="0" borderId="0" xfId="0" applyFont="1" applyAlignment="1">
      <alignment horizontal="right" wrapText="1"/>
    </xf>
    <xf numFmtId="0" fontId="30" fillId="5" borderId="0" xfId="0" applyFont="1" applyFill="1" applyAlignment="1">
      <alignment horizontal="right"/>
    </xf>
    <xf numFmtId="0" fontId="9" fillId="0" borderId="4" xfId="0" applyFont="1" applyFill="1" applyBorder="1"/>
    <xf numFmtId="164" fontId="16" fillId="0" borderId="7" xfId="1" applyFont="1" applyFill="1" applyBorder="1" applyAlignment="1">
      <alignment horizontal="center" wrapText="1"/>
    </xf>
    <xf numFmtId="165" fontId="16" fillId="0" borderId="12" xfId="1" applyNumberFormat="1" applyFont="1" applyFill="1" applyBorder="1" applyAlignment="1">
      <alignment horizontal="right"/>
    </xf>
    <xf numFmtId="165" fontId="16" fillId="0" borderId="12" xfId="1" applyNumberFormat="1" applyFont="1" applyFill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145" zoomScaleNormal="145" workbookViewId="0">
      <selection sqref="A1:H26"/>
    </sheetView>
  </sheetViews>
  <sheetFormatPr defaultColWidth="12.5703125" defaultRowHeight="15"/>
  <cols>
    <col min="1" max="1" width="22.42578125" customWidth="1"/>
    <col min="2" max="2" width="17" customWidth="1"/>
    <col min="3" max="4" width="16.7109375" customWidth="1"/>
    <col min="5" max="6" width="17.42578125" customWidth="1"/>
    <col min="7" max="7" width="12" customWidth="1"/>
    <col min="8" max="8" width="14.42578125" bestFit="1" customWidth="1"/>
    <col min="10" max="10" width="14.7109375" bestFit="1" customWidth="1"/>
  </cols>
  <sheetData>
    <row r="1" spans="1:10" ht="18.75" customHeight="1">
      <c r="A1" s="51" t="s">
        <v>91</v>
      </c>
      <c r="B1" s="51"/>
      <c r="C1" s="51"/>
      <c r="D1" s="51"/>
      <c r="E1" s="51"/>
      <c r="F1" s="51"/>
      <c r="G1" s="51"/>
      <c r="H1" s="51"/>
    </row>
    <row r="2" spans="1:10" ht="15" customHeight="1">
      <c r="A2" s="51"/>
      <c r="B2" s="2">
        <v>2021</v>
      </c>
      <c r="C2" s="149">
        <v>2022</v>
      </c>
      <c r="D2" s="149">
        <v>2023</v>
      </c>
      <c r="E2" s="149">
        <v>2024</v>
      </c>
      <c r="F2" s="51"/>
      <c r="G2" s="2"/>
      <c r="H2" s="51"/>
    </row>
    <row r="3" spans="1:10" ht="15" customHeight="1">
      <c r="A3" s="160" t="s">
        <v>124</v>
      </c>
      <c r="B3" s="48"/>
      <c r="C3" s="77"/>
      <c r="D3" s="77"/>
      <c r="E3" s="4"/>
      <c r="F3" s="4"/>
      <c r="G3" s="48"/>
      <c r="H3" s="48"/>
    </row>
    <row r="4" spans="1:10" ht="15" customHeight="1">
      <c r="A4" s="160"/>
      <c r="C4" s="148">
        <f>C5*0/100</f>
        <v>0</v>
      </c>
      <c r="D4" s="148">
        <f>D5*2/100</f>
        <v>981454.83633533458</v>
      </c>
      <c r="E4" s="148">
        <f>E5*2/100</f>
        <v>1001083.9330620414</v>
      </c>
      <c r="G4" s="48"/>
      <c r="H4" s="12"/>
    </row>
    <row r="5" spans="1:10" ht="15" customHeight="1">
      <c r="A5" s="70" t="s">
        <v>78</v>
      </c>
      <c r="B5" s="148">
        <v>48110531.192908563</v>
      </c>
      <c r="C5" s="148">
        <f>B5</f>
        <v>48110531.192908563</v>
      </c>
      <c r="D5" s="148">
        <f>C5*1.02</f>
        <v>49072741.816766731</v>
      </c>
      <c r="E5" s="148">
        <f>D5*1.02</f>
        <v>50054196.65310207</v>
      </c>
      <c r="F5" s="3"/>
      <c r="G5" s="48"/>
      <c r="H5" s="75"/>
    </row>
    <row r="6" spans="1:10" ht="15" customHeight="1">
      <c r="A6" s="70" t="s">
        <v>77</v>
      </c>
      <c r="B6" s="148">
        <v>-95000</v>
      </c>
      <c r="C6" s="148">
        <v>-95000</v>
      </c>
      <c r="D6" s="148">
        <v>-95000</v>
      </c>
      <c r="E6" s="148">
        <v>-95000</v>
      </c>
      <c r="F6" s="1"/>
      <c r="G6" s="1"/>
    </row>
    <row r="7" spans="1:10" ht="15" customHeight="1">
      <c r="A7" s="70" t="s">
        <v>71</v>
      </c>
      <c r="B7" s="148">
        <v>-200000</v>
      </c>
      <c r="C7" s="148">
        <v>-200000</v>
      </c>
      <c r="D7" s="148">
        <v>-200000</v>
      </c>
      <c r="E7" s="148">
        <v>-200000</v>
      </c>
      <c r="F7" s="78"/>
      <c r="G7" s="1"/>
    </row>
    <row r="8" spans="1:10" ht="15" customHeight="1">
      <c r="A8" s="69" t="s">
        <v>72</v>
      </c>
      <c r="B8" s="148">
        <f>SUM(B5:B7)</f>
        <v>47815531.192908563</v>
      </c>
      <c r="C8" s="148">
        <f>SUM(C5:C7)</f>
        <v>47815531.192908563</v>
      </c>
      <c r="D8" s="148">
        <f>SUM(D5:D7)</f>
        <v>48777741.816766731</v>
      </c>
      <c r="E8" s="148">
        <f>SUM(E5:E7)</f>
        <v>49759196.65310207</v>
      </c>
      <c r="F8" s="3"/>
      <c r="H8" s="12"/>
    </row>
    <row r="9" spans="1:10" ht="15" customHeight="1">
      <c r="F9" s="79"/>
      <c r="H9" s="12"/>
    </row>
    <row r="10" spans="1:10" ht="15" customHeight="1">
      <c r="A10" s="69"/>
      <c r="B10" s="48"/>
      <c r="C10" s="158" t="s">
        <v>117</v>
      </c>
      <c r="D10" s="156" t="s">
        <v>115</v>
      </c>
      <c r="E10" s="154" t="s">
        <v>116</v>
      </c>
      <c r="F10" s="48"/>
      <c r="G10" s="48"/>
      <c r="H10" s="48"/>
    </row>
    <row r="11" spans="1:10" ht="74.25" customHeight="1">
      <c r="A11" s="61"/>
      <c r="B11" s="146" t="s">
        <v>88</v>
      </c>
      <c r="C11" s="159"/>
      <c r="D11" s="157"/>
      <c r="E11" s="155"/>
      <c r="F11" s="80" t="s">
        <v>83</v>
      </c>
      <c r="G11" s="80" t="s">
        <v>84</v>
      </c>
      <c r="H11" s="80" t="s">
        <v>85</v>
      </c>
    </row>
    <row r="12" spans="1:10" ht="15" customHeight="1">
      <c r="A12" s="62" t="s">
        <v>1</v>
      </c>
      <c r="B12" s="52">
        <v>4177827.1357164299</v>
      </c>
      <c r="C12" s="63">
        <f>B12-(-F12/3)</f>
        <v>4157200.2205600496</v>
      </c>
      <c r="D12" s="63">
        <f>C12-(-F12/3)</f>
        <v>4136573.3054036694</v>
      </c>
      <c r="E12" s="52">
        <f>'18-19-19 BB-Model'!J25</f>
        <v>4115946.3902472886</v>
      </c>
      <c r="F12" s="85">
        <f>E12-B12</f>
        <v>-61880.745469141286</v>
      </c>
      <c r="G12" s="81">
        <f>B12/(B23-295000)*100</f>
        <v>8.7373851790148827</v>
      </c>
      <c r="H12" s="147">
        <f>E12/(E23-295000)*100</f>
        <v>8.6079699338831368</v>
      </c>
      <c r="J12" s="109"/>
    </row>
    <row r="13" spans="1:10" ht="15" customHeight="1">
      <c r="A13" s="64" t="s">
        <v>2</v>
      </c>
      <c r="B13" s="52">
        <v>6053976.5139491707</v>
      </c>
      <c r="C13" s="63">
        <f>B13-(-F13/3)</f>
        <v>6019218.9601534735</v>
      </c>
      <c r="D13" s="63">
        <f>C13-(-F13/3)</f>
        <v>5984461.4063577764</v>
      </c>
      <c r="E13" s="52">
        <f>'18-19-19 BB-Model'!J26</f>
        <v>5949703.8525620801</v>
      </c>
      <c r="F13" s="85">
        <f t="shared" ref="F13:F22" si="0">E13-B13</f>
        <v>-104272.66138709057</v>
      </c>
      <c r="G13" s="81">
        <f>B13/(B23-295000)*100</f>
        <v>12.661108980521011</v>
      </c>
      <c r="H13" s="147">
        <f>E13/(E23-295000)*100</f>
        <v>12.443036673100604</v>
      </c>
      <c r="J13" s="109"/>
    </row>
    <row r="14" spans="1:10" ht="15" customHeight="1">
      <c r="A14" s="64" t="s">
        <v>3</v>
      </c>
      <c r="B14" s="52">
        <v>6292350.0248675449</v>
      </c>
      <c r="C14" s="63">
        <f t="shared" ref="C14:C21" si="1">B14-(-F14/3)</f>
        <v>6219270.824611675</v>
      </c>
      <c r="D14" s="63">
        <f t="shared" ref="D14:D21" si="2">C14-(-F14/3)</f>
        <v>6146191.6243558051</v>
      </c>
      <c r="E14" s="52">
        <f>'18-19-19 BB-Model'!J27</f>
        <v>6073112.4240999352</v>
      </c>
      <c r="F14" s="85">
        <f t="shared" si="0"/>
        <v>-219237.60076760966</v>
      </c>
      <c r="G14" s="81">
        <f>B14/(B23-295000)*100</f>
        <v>13.159636352216776</v>
      </c>
      <c r="H14" s="147">
        <f>E14/(E23-295000)*100</f>
        <v>12.701129751255952</v>
      </c>
      <c r="J14" s="56"/>
    </row>
    <row r="15" spans="1:10" ht="15" customHeight="1">
      <c r="A15" s="64" t="s">
        <v>4</v>
      </c>
      <c r="B15" s="52">
        <v>4102382.1125983922</v>
      </c>
      <c r="C15" s="63">
        <f t="shared" si="1"/>
        <v>4140160.042529033</v>
      </c>
      <c r="D15" s="63">
        <f t="shared" si="2"/>
        <v>4177937.9724596739</v>
      </c>
      <c r="E15" s="52">
        <f>'18-19-19 BB-Model'!J28</f>
        <v>4215715.9023903152</v>
      </c>
      <c r="F15" s="85">
        <f t="shared" si="0"/>
        <v>113333.78979192302</v>
      </c>
      <c r="G15" s="81">
        <f>B15/(B23-295000)*100</f>
        <v>8.5796016696909767</v>
      </c>
      <c r="H15" s="147">
        <f>E15/(E23-295000)*100</f>
        <v>8.8166249744056078</v>
      </c>
    </row>
    <row r="16" spans="1:10" ht="15" customHeight="1">
      <c r="A16" s="64" t="s">
        <v>5</v>
      </c>
      <c r="B16" s="52">
        <v>7230024.1878989134</v>
      </c>
      <c r="C16" s="63">
        <f t="shared" si="1"/>
        <v>7190167.2766289199</v>
      </c>
      <c r="D16" s="63">
        <f t="shared" si="2"/>
        <v>7150310.3653589264</v>
      </c>
      <c r="E16" s="52">
        <f>'18-19-19 BB-Model'!J29</f>
        <v>7110453.4540889338</v>
      </c>
      <c r="F16" s="85">
        <f t="shared" si="0"/>
        <v>-119570.73380997963</v>
      </c>
      <c r="G16" s="81">
        <f>B16/(B23-295000)*100</f>
        <v>15.120660604458969</v>
      </c>
      <c r="H16" s="147">
        <f>E16/(E23-295000)*100</f>
        <v>14.870594450428623</v>
      </c>
    </row>
    <row r="17" spans="1:8" ht="15" customHeight="1">
      <c r="A17" s="62" t="s">
        <v>6</v>
      </c>
      <c r="B17" s="52">
        <v>5147561.990750663</v>
      </c>
      <c r="C17" s="63">
        <f t="shared" si="1"/>
        <v>5000534.2129394738</v>
      </c>
      <c r="D17" s="63">
        <f t="shared" si="2"/>
        <v>4853506.4351282846</v>
      </c>
      <c r="E17" s="52">
        <f>'18-19-19 BB-Model'!J30</f>
        <v>4706478.6573170945</v>
      </c>
      <c r="F17" s="85">
        <f t="shared" si="0"/>
        <v>-441083.33343356848</v>
      </c>
      <c r="G17" s="81">
        <f>B17/(B23-295000)*100</f>
        <v>10.765460222502119</v>
      </c>
      <c r="H17" s="147">
        <f>E17/(E23-295000)*100</f>
        <v>9.842991850584859</v>
      </c>
    </row>
    <row r="18" spans="1:8" ht="15" customHeight="1">
      <c r="A18" s="64" t="s">
        <v>7</v>
      </c>
      <c r="B18" s="52">
        <v>4507858.2272233926</v>
      </c>
      <c r="C18" s="63">
        <f t="shared" si="1"/>
        <v>4664090.0131771984</v>
      </c>
      <c r="D18" s="63">
        <f t="shared" si="2"/>
        <v>4820321.7991310041</v>
      </c>
      <c r="E18" s="52">
        <f>'18-19-19 BB-Model'!J31</f>
        <v>4976553.5850848109</v>
      </c>
      <c r="F18" s="85">
        <f t="shared" si="0"/>
        <v>468695.35786141828</v>
      </c>
      <c r="G18" s="81">
        <f>B18/(B23-295000)*100</f>
        <v>9.4276025273811985</v>
      </c>
      <c r="H18" s="147">
        <f>E18/(E23-295000)*100</f>
        <v>10.407818657763094</v>
      </c>
    </row>
    <row r="19" spans="1:8" ht="15" customHeight="1">
      <c r="A19" s="64" t="s">
        <v>15</v>
      </c>
      <c r="B19" s="52">
        <v>2979995.1065100986</v>
      </c>
      <c r="C19" s="63">
        <f t="shared" si="1"/>
        <v>3015941.7386897709</v>
      </c>
      <c r="D19" s="63">
        <f t="shared" si="2"/>
        <v>3051888.3708694433</v>
      </c>
      <c r="E19" s="52">
        <f>'18-19-19 BB-Model'!J32</f>
        <v>3087835.0030491157</v>
      </c>
      <c r="F19" s="85">
        <f t="shared" si="0"/>
        <v>107839.89653901709</v>
      </c>
      <c r="G19" s="81">
        <f>B19/(B23-295000)*100</f>
        <v>6.2322743932039737</v>
      </c>
      <c r="H19" s="147">
        <f>E19/(E23-295000)*100</f>
        <v>6.4578078397765024</v>
      </c>
    </row>
    <row r="20" spans="1:8" ht="15" customHeight="1">
      <c r="A20" s="64" t="s">
        <v>16</v>
      </c>
      <c r="B20" s="52">
        <v>3888335.886241979</v>
      </c>
      <c r="C20" s="63">
        <f t="shared" si="1"/>
        <v>3880769.3616906428</v>
      </c>
      <c r="D20" s="63">
        <f t="shared" si="2"/>
        <v>3873202.8371393066</v>
      </c>
      <c r="E20" s="52">
        <f>'18-19-19 BB-Model'!J33</f>
        <v>3865636.3125879709</v>
      </c>
      <c r="F20" s="85">
        <f t="shared" si="0"/>
        <v>-22699.573654008098</v>
      </c>
      <c r="G20" s="81">
        <f>B20/(B23-295000)*100</f>
        <v>8.1319516676595072</v>
      </c>
      <c r="H20" s="147">
        <f>E20/(E23-295000)*100</f>
        <v>8.0844787563146401</v>
      </c>
    </row>
    <row r="21" spans="1:8" ht="15" customHeight="1">
      <c r="A21" s="64" t="s">
        <v>8</v>
      </c>
      <c r="B21" s="52">
        <f>3635220.00715198-200000</f>
        <v>3435220.00715198</v>
      </c>
      <c r="C21" s="63">
        <f t="shared" si="1"/>
        <v>3528177.92790514</v>
      </c>
      <c r="D21" s="63">
        <f t="shared" si="2"/>
        <v>3621135.8486583</v>
      </c>
      <c r="E21" s="52">
        <f>'18-19-19 BB-Model'!J34</f>
        <v>3714093.7694114605</v>
      </c>
      <c r="F21" s="85">
        <f t="shared" si="0"/>
        <v>278873.76225948054</v>
      </c>
      <c r="G21" s="81">
        <f>B21/(B23-295000)*100</f>
        <v>7.1843184033506073</v>
      </c>
      <c r="H21" s="147">
        <f>E21/(E23-295000)*100</f>
        <v>7.7675471124869819</v>
      </c>
    </row>
    <row r="22" spans="1:8" ht="15" customHeight="1">
      <c r="A22" s="64" t="s">
        <v>114</v>
      </c>
      <c r="B22" s="52">
        <v>295000</v>
      </c>
      <c r="C22" s="65">
        <v>295000</v>
      </c>
      <c r="D22" s="65">
        <v>295000</v>
      </c>
      <c r="E22" s="145">
        <v>295000</v>
      </c>
      <c r="F22" s="85">
        <f t="shared" si="0"/>
        <v>0</v>
      </c>
      <c r="G22" s="81">
        <f>B22/(B23-295000)*100</f>
        <v>0.61695435068961646</v>
      </c>
      <c r="H22" s="147">
        <f>E22/(E23-295000)*100</f>
        <v>0.61695437445747681</v>
      </c>
    </row>
    <row r="23" spans="1:8" ht="15" customHeight="1">
      <c r="A23" s="66" t="s">
        <v>0</v>
      </c>
      <c r="B23" s="151">
        <f t="shared" ref="B23:H23" si="3">SUM(B12:B22)</f>
        <v>48110531.192908555</v>
      </c>
      <c r="C23" s="67">
        <f t="shared" si="3"/>
        <v>48110530.578885376</v>
      </c>
      <c r="D23" s="67">
        <f t="shared" si="3"/>
        <v>48110529.96486219</v>
      </c>
      <c r="E23" s="151">
        <f t="shared" si="3"/>
        <v>48110529.350839004</v>
      </c>
      <c r="F23" s="86">
        <f t="shared" si="3"/>
        <v>-1.8420695587992668</v>
      </c>
      <c r="G23" s="68">
        <f t="shared" si="3"/>
        <v>100.61695435068962</v>
      </c>
      <c r="H23" s="68">
        <f t="shared" si="3"/>
        <v>100.61695437445749</v>
      </c>
    </row>
    <row r="24" spans="1:8" ht="15" customHeight="1">
      <c r="A24" s="53"/>
      <c r="B24" s="54"/>
      <c r="C24" s="54"/>
      <c r="D24" s="54"/>
      <c r="E24" s="54"/>
      <c r="F24" s="54"/>
      <c r="G24" s="54"/>
      <c r="H24" s="54"/>
    </row>
    <row r="25" spans="1:8" ht="15" customHeight="1">
      <c r="A25" s="55" t="s">
        <v>119</v>
      </c>
    </row>
    <row r="26" spans="1:8" ht="15" customHeight="1">
      <c r="A26" s="55" t="s">
        <v>118</v>
      </c>
      <c r="B26" s="11"/>
    </row>
    <row r="27" spans="1:8" ht="15" customHeight="1"/>
    <row r="28" spans="1:8" ht="15" customHeight="1">
      <c r="A28" s="55"/>
    </row>
    <row r="29" spans="1:8" ht="15" customHeight="1">
      <c r="A29" s="55"/>
    </row>
  </sheetData>
  <mergeCells count="4">
    <mergeCell ref="E10:E11"/>
    <mergeCell ref="D10:D11"/>
    <mergeCell ref="C10:C11"/>
    <mergeCell ref="A3:A4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12" sqref="D12"/>
    </sheetView>
  </sheetViews>
  <sheetFormatPr defaultRowHeight="15"/>
  <cols>
    <col min="1" max="1" width="22.140625" customWidth="1"/>
    <col min="2" max="2" width="13.140625" customWidth="1"/>
    <col min="3" max="3" width="17.5703125" customWidth="1"/>
    <col min="4" max="4" width="16.7109375" style="150" customWidth="1"/>
    <col min="5" max="5" width="16.28515625" customWidth="1"/>
    <col min="6" max="6" width="16" customWidth="1"/>
    <col min="7" max="7" width="11.140625" customWidth="1"/>
    <col min="8" max="8" width="12.140625" customWidth="1"/>
    <col min="9" max="9" width="11.28515625" customWidth="1"/>
  </cols>
  <sheetData>
    <row r="1" spans="1:9" ht="21">
      <c r="A1" s="51" t="s">
        <v>91</v>
      </c>
      <c r="B1" s="51"/>
      <c r="C1" s="51"/>
      <c r="D1" s="51"/>
      <c r="E1" s="51"/>
      <c r="F1" s="51"/>
      <c r="G1" s="51"/>
      <c r="H1" s="51"/>
      <c r="I1" s="51"/>
    </row>
    <row r="2" spans="1:9" ht="21">
      <c r="A2" s="51"/>
      <c r="B2" s="2">
        <v>2021</v>
      </c>
      <c r="C2" s="149">
        <v>2022</v>
      </c>
      <c r="D2" s="149"/>
      <c r="E2" s="149">
        <v>2023</v>
      </c>
      <c r="F2" s="149">
        <v>2024</v>
      </c>
      <c r="G2" s="51"/>
      <c r="H2" s="2"/>
      <c r="I2" s="51"/>
    </row>
    <row r="3" spans="1:9" ht="23.25">
      <c r="A3" s="160" t="s">
        <v>124</v>
      </c>
      <c r="B3" s="48"/>
      <c r="C3" s="77"/>
      <c r="D3" s="77"/>
      <c r="E3" s="77"/>
      <c r="F3" s="4"/>
      <c r="G3" s="4"/>
      <c r="H3" s="48"/>
      <c r="I3" s="48"/>
    </row>
    <row r="4" spans="1:9" ht="23.25">
      <c r="A4" s="160"/>
      <c r="B4" s="150"/>
      <c r="C4" s="148">
        <f>C5*0/100</f>
        <v>0</v>
      </c>
      <c r="D4" s="148"/>
      <c r="E4" s="148">
        <f>E5*2/100</f>
        <v>981454.83633533458</v>
      </c>
      <c r="F4" s="148">
        <f>F5*2/100</f>
        <v>1001083.9330620414</v>
      </c>
      <c r="G4" s="150"/>
      <c r="H4" s="48"/>
      <c r="I4" s="12"/>
    </row>
    <row r="5" spans="1:9" ht="23.25">
      <c r="A5" s="70" t="s">
        <v>78</v>
      </c>
      <c r="B5" s="148">
        <v>48110531.192908563</v>
      </c>
      <c r="C5" s="148">
        <f>B5</f>
        <v>48110531.192908563</v>
      </c>
      <c r="D5" s="148"/>
      <c r="E5" s="148">
        <f>C5*1.02</f>
        <v>49072741.816766731</v>
      </c>
      <c r="F5" s="148">
        <f>E5*1.02</f>
        <v>50054196.65310207</v>
      </c>
      <c r="G5" s="3"/>
      <c r="H5" s="48"/>
      <c r="I5" s="75"/>
    </row>
    <row r="6" spans="1:9" s="150" customFormat="1" ht="23.25">
      <c r="A6" s="70" t="s">
        <v>133</v>
      </c>
      <c r="B6" s="148"/>
      <c r="C6" s="148">
        <f>-(C5*1/100)</f>
        <v>-481105.31192908564</v>
      </c>
      <c r="D6" s="148"/>
      <c r="E6" s="148"/>
      <c r="F6" s="148"/>
      <c r="G6" s="3"/>
      <c r="H6" s="48"/>
      <c r="I6" s="75"/>
    </row>
    <row r="7" spans="1:9">
      <c r="A7" s="70" t="s">
        <v>77</v>
      </c>
      <c r="B7" s="148">
        <v>-95000</v>
      </c>
      <c r="C7" s="148">
        <v>-95000</v>
      </c>
      <c r="D7" s="148"/>
      <c r="E7" s="148">
        <v>-95000</v>
      </c>
      <c r="F7" s="148">
        <v>-95000</v>
      </c>
      <c r="G7" s="1"/>
      <c r="H7" s="1"/>
      <c r="I7" s="150"/>
    </row>
    <row r="8" spans="1:9">
      <c r="A8" s="70" t="s">
        <v>71</v>
      </c>
      <c r="B8" s="148">
        <v>-200000</v>
      </c>
      <c r="C8" s="148">
        <v>-200000</v>
      </c>
      <c r="D8" s="148"/>
      <c r="E8" s="148">
        <v>-200000</v>
      </c>
      <c r="F8" s="148">
        <v>-200000</v>
      </c>
      <c r="G8" s="78"/>
      <c r="H8" s="1"/>
      <c r="I8" s="150"/>
    </row>
    <row r="9" spans="1:9">
      <c r="A9" s="69" t="s">
        <v>72</v>
      </c>
      <c r="B9" s="148">
        <f>SUM(B5:B8)</f>
        <v>47815531.192908563</v>
      </c>
      <c r="C9" s="148">
        <f>SUM(C5:C8)</f>
        <v>47334425.880979478</v>
      </c>
      <c r="D9" s="148"/>
      <c r="E9" s="148">
        <f>SUM(E5:E8)</f>
        <v>48777741.816766731</v>
      </c>
      <c r="F9" s="148">
        <f>SUM(F5:F8)</f>
        <v>49759196.65310207</v>
      </c>
      <c r="G9" s="3"/>
      <c r="H9" s="150"/>
      <c r="I9" s="12"/>
    </row>
    <row r="10" spans="1:9">
      <c r="A10" s="150"/>
      <c r="B10" s="150"/>
      <c r="C10" s="150"/>
      <c r="E10" s="150"/>
      <c r="F10" s="150"/>
      <c r="G10" s="79"/>
      <c r="H10" s="150"/>
      <c r="I10" s="12"/>
    </row>
    <row r="11" spans="1:9" ht="23.25">
      <c r="A11" s="69"/>
      <c r="B11" s="48"/>
      <c r="C11" s="158" t="s">
        <v>117</v>
      </c>
      <c r="D11" s="153"/>
      <c r="E11" s="156" t="s">
        <v>115</v>
      </c>
      <c r="F11" s="154" t="s">
        <v>116</v>
      </c>
      <c r="G11" s="48"/>
      <c r="H11" s="48"/>
      <c r="I11" s="48"/>
    </row>
    <row r="12" spans="1:9" ht="105">
      <c r="A12" s="61"/>
      <c r="B12" s="146" t="s">
        <v>88</v>
      </c>
      <c r="C12" s="159"/>
      <c r="D12" s="169" t="s">
        <v>134</v>
      </c>
      <c r="E12" s="157"/>
      <c r="F12" s="155"/>
      <c r="G12" s="80" t="s">
        <v>83</v>
      </c>
      <c r="H12" s="80" t="s">
        <v>84</v>
      </c>
      <c r="I12" s="80" t="s">
        <v>85</v>
      </c>
    </row>
    <row r="13" spans="1:9">
      <c r="A13" s="62" t="s">
        <v>1</v>
      </c>
      <c r="B13" s="52">
        <v>4177827.1357164299</v>
      </c>
      <c r="C13" s="63">
        <f>B13-(-G13/3)</f>
        <v>4157200.2205600496</v>
      </c>
      <c r="D13" s="170">
        <f>C9*H13/100-(-G13/3)</f>
        <v>4115164.196340105</v>
      </c>
      <c r="E13" s="63">
        <f>C13-(-G13/3)</f>
        <v>4136573.3054036694</v>
      </c>
      <c r="F13" s="52">
        <f>'18-19-19 BB-Model'!J25</f>
        <v>4115946.3902472886</v>
      </c>
      <c r="G13" s="85">
        <f>F13-B13</f>
        <v>-61880.745469141286</v>
      </c>
      <c r="H13" s="81">
        <f>B13/(B24-295000)*100</f>
        <v>8.7373851790148827</v>
      </c>
      <c r="I13" s="147">
        <f>F13/(F24-295000)*100</f>
        <v>8.6079699338831368</v>
      </c>
    </row>
    <row r="14" spans="1:9">
      <c r="A14" s="64" t="s">
        <v>2</v>
      </c>
      <c r="B14" s="52">
        <v>6053976.5139491707</v>
      </c>
      <c r="C14" s="63">
        <f>B14-(-G14/3)</f>
        <v>6019218.9601534735</v>
      </c>
      <c r="D14" s="170">
        <f>C9*H14/100-(-G14/3)</f>
        <v>5958305.6922990568</v>
      </c>
      <c r="E14" s="63">
        <f>C14-(-G14/3)</f>
        <v>5984461.4063577764</v>
      </c>
      <c r="F14" s="52">
        <f>'18-19-19 BB-Model'!J26</f>
        <v>5949703.8525620801</v>
      </c>
      <c r="G14" s="85">
        <f t="shared" ref="G14:G23" si="0">F14-B14</f>
        <v>-104272.66138709057</v>
      </c>
      <c r="H14" s="81">
        <f>B14/(B24-295000)*100</f>
        <v>12.661108980521011</v>
      </c>
      <c r="I14" s="147">
        <f>F14/(F24-295000)*100</f>
        <v>12.443036673100604</v>
      </c>
    </row>
    <row r="15" spans="1:9">
      <c r="A15" s="64" t="s">
        <v>3</v>
      </c>
      <c r="B15" s="52">
        <v>6292350.0248675449</v>
      </c>
      <c r="C15" s="63">
        <f>B15-(-G15/3)</f>
        <v>6219270.824611675</v>
      </c>
      <c r="D15" s="170">
        <f>C9*H15/100-(-G15/3)</f>
        <v>6155959.1150906105</v>
      </c>
      <c r="E15" s="63">
        <f t="shared" ref="E15:E22" si="1">C15-(-G15/3)</f>
        <v>6146191.6243558051</v>
      </c>
      <c r="F15" s="52">
        <f>'18-19-19 BB-Model'!J27</f>
        <v>6073112.4240999352</v>
      </c>
      <c r="G15" s="85">
        <f t="shared" si="0"/>
        <v>-219237.60076760966</v>
      </c>
      <c r="H15" s="81">
        <f>B15/(B24-295000)*100</f>
        <v>13.159636352216776</v>
      </c>
      <c r="I15" s="147">
        <f>F15/(F24-295000)*100</f>
        <v>12.701129751255952</v>
      </c>
    </row>
    <row r="16" spans="1:9">
      <c r="A16" s="64" t="s">
        <v>4</v>
      </c>
      <c r="B16" s="52">
        <v>4102382.1125983922</v>
      </c>
      <c r="C16" s="63">
        <f t="shared" ref="C16:C22" si="2">B16-(-G16/3)</f>
        <v>4140160.042529033</v>
      </c>
      <c r="D16" s="170">
        <f>C9*H16/100-(-G16/3)</f>
        <v>4098883.1231537941</v>
      </c>
      <c r="E16" s="63">
        <f t="shared" si="1"/>
        <v>4177937.9724596739</v>
      </c>
      <c r="F16" s="52">
        <f>'18-19-19 BB-Model'!J28</f>
        <v>4215715.9023903152</v>
      </c>
      <c r="G16" s="85">
        <f t="shared" si="0"/>
        <v>113333.78979192302</v>
      </c>
      <c r="H16" s="81">
        <f>B16/(B24-295000)*100</f>
        <v>8.5796016696909767</v>
      </c>
      <c r="I16" s="147">
        <f>F16/(F24-295000)*100</f>
        <v>8.8166249744056078</v>
      </c>
    </row>
    <row r="17" spans="1:9">
      <c r="A17" s="64" t="s">
        <v>5</v>
      </c>
      <c r="B17" s="52">
        <v>7230024.1878989134</v>
      </c>
      <c r="C17" s="63">
        <f t="shared" si="2"/>
        <v>7190167.2766289199</v>
      </c>
      <c r="D17" s="170">
        <f>C9*H17/100-(-G17/3)</f>
        <v>7117420.9752621008</v>
      </c>
      <c r="E17" s="63">
        <f t="shared" si="1"/>
        <v>7150310.3653589264</v>
      </c>
      <c r="F17" s="52">
        <f>'18-19-19 BB-Model'!J29</f>
        <v>7110453.4540889338</v>
      </c>
      <c r="G17" s="85">
        <f t="shared" si="0"/>
        <v>-119570.73380997963</v>
      </c>
      <c r="H17" s="81">
        <f>B17/(B24-295000)*100</f>
        <v>15.120660604458969</v>
      </c>
      <c r="I17" s="147">
        <f>F17/(F24-295000)*100</f>
        <v>14.870594450428623</v>
      </c>
    </row>
    <row r="18" spans="1:9">
      <c r="A18" s="62" t="s">
        <v>6</v>
      </c>
      <c r="B18" s="52">
        <v>5147561.990750663</v>
      </c>
      <c r="C18" s="63">
        <f t="shared" si="2"/>
        <v>5000534.2129394738</v>
      </c>
      <c r="D18" s="170">
        <f>C9*H18/100-(-G18/3)</f>
        <v>4948741.0119554047</v>
      </c>
      <c r="E18" s="63">
        <f t="shared" si="1"/>
        <v>4853506.4351282846</v>
      </c>
      <c r="F18" s="52">
        <f>'18-19-19 BB-Model'!J30</f>
        <v>4706478.6573170945</v>
      </c>
      <c r="G18" s="85">
        <f t="shared" si="0"/>
        <v>-441083.33343356848</v>
      </c>
      <c r="H18" s="81">
        <f>B18/(B24-295000)*100</f>
        <v>10.765460222502119</v>
      </c>
      <c r="I18" s="147">
        <f>F18/(F24-295000)*100</f>
        <v>9.842991850584859</v>
      </c>
    </row>
    <row r="19" spans="1:9">
      <c r="A19" s="64" t="s">
        <v>7</v>
      </c>
      <c r="B19" s="52">
        <v>4507858.2272233926</v>
      </c>
      <c r="C19" s="63">
        <f t="shared" si="2"/>
        <v>4664090.0131771984</v>
      </c>
      <c r="D19" s="170">
        <f>C9*H19/100-(-G19/3)</f>
        <v>4618733.3166304072</v>
      </c>
      <c r="E19" s="63">
        <f t="shared" si="1"/>
        <v>4820321.7991310041</v>
      </c>
      <c r="F19" s="52">
        <f>'18-19-19 BB-Model'!J31</f>
        <v>4976553.5850848109</v>
      </c>
      <c r="G19" s="85">
        <f t="shared" si="0"/>
        <v>468695.35786141828</v>
      </c>
      <c r="H19" s="81">
        <f>B19/(B24-295000)*100</f>
        <v>9.4276025273811985</v>
      </c>
      <c r="I19" s="147">
        <f>F19/(F24-295000)*100</f>
        <v>10.407818657763094</v>
      </c>
    </row>
    <row r="20" spans="1:9">
      <c r="A20" s="64" t="s">
        <v>15</v>
      </c>
      <c r="B20" s="52">
        <v>2979995.1065100986</v>
      </c>
      <c r="C20" s="63">
        <f t="shared" si="2"/>
        <v>3015941.7386897709</v>
      </c>
      <c r="D20" s="170">
        <f>C9*H20/100-(-G20/3)</f>
        <v>2985957.9355300707</v>
      </c>
      <c r="E20" s="63">
        <f t="shared" si="1"/>
        <v>3051888.3708694433</v>
      </c>
      <c r="F20" s="52">
        <f>'18-19-19 BB-Model'!J32</f>
        <v>3087835.0030491157</v>
      </c>
      <c r="G20" s="85">
        <f t="shared" si="0"/>
        <v>107839.89653901709</v>
      </c>
      <c r="H20" s="81">
        <f>B20/(B24-295000)*100</f>
        <v>6.2322743932039737</v>
      </c>
      <c r="I20" s="147">
        <f>F20/(F24-295000)*100</f>
        <v>6.4578078397765024</v>
      </c>
    </row>
    <row r="21" spans="1:9">
      <c r="A21" s="64" t="s">
        <v>16</v>
      </c>
      <c r="B21" s="52">
        <v>3888335.886241979</v>
      </c>
      <c r="C21" s="63">
        <f t="shared" si="2"/>
        <v>3880769.3616906428</v>
      </c>
      <c r="D21" s="170">
        <f>C9*H21/100-(-G21/3)</f>
        <v>3841646.1102540279</v>
      </c>
      <c r="E21" s="63">
        <f t="shared" si="1"/>
        <v>3873202.8371393066</v>
      </c>
      <c r="F21" s="52">
        <f>'18-19-19 BB-Model'!J33</f>
        <v>3865636.3125879709</v>
      </c>
      <c r="G21" s="85">
        <f t="shared" si="0"/>
        <v>-22699.573654008098</v>
      </c>
      <c r="H21" s="81">
        <f>B21/(B24-295000)*100</f>
        <v>8.1319516676595072</v>
      </c>
      <c r="I21" s="147">
        <f>F21/(F24-295000)*100</f>
        <v>8.0844787563146401</v>
      </c>
    </row>
    <row r="22" spans="1:9">
      <c r="A22" s="64" t="s">
        <v>8</v>
      </c>
      <c r="B22" s="52">
        <f>3635220.00715198-200000</f>
        <v>3435220.00715198</v>
      </c>
      <c r="C22" s="63">
        <f t="shared" si="2"/>
        <v>3528177.92790514</v>
      </c>
      <c r="D22" s="170">
        <f>C9*H22/100-(-G22/3)</f>
        <v>3493613.7904407214</v>
      </c>
      <c r="E22" s="63">
        <f t="shared" si="1"/>
        <v>3621135.8486583</v>
      </c>
      <c r="F22" s="52">
        <f>'18-19-19 BB-Model'!J34</f>
        <v>3714093.7694114605</v>
      </c>
      <c r="G22" s="85">
        <f t="shared" si="0"/>
        <v>278873.76225948054</v>
      </c>
      <c r="H22" s="81">
        <f>B22/(B24-295000)*100</f>
        <v>7.1843184033506073</v>
      </c>
      <c r="I22" s="147">
        <f>F22/(F24-295000)*100</f>
        <v>7.7675471124869819</v>
      </c>
    </row>
    <row r="23" spans="1:9">
      <c r="A23" s="64" t="s">
        <v>114</v>
      </c>
      <c r="B23" s="52">
        <v>295000</v>
      </c>
      <c r="C23" s="65">
        <v>295000</v>
      </c>
      <c r="D23" s="171">
        <v>776105</v>
      </c>
      <c r="E23" s="65">
        <v>295000</v>
      </c>
      <c r="F23" s="145">
        <v>295000</v>
      </c>
      <c r="G23" s="85">
        <f t="shared" si="0"/>
        <v>0</v>
      </c>
      <c r="H23" s="81">
        <f>B23/(B24-295000)*100</f>
        <v>0.61695435068961646</v>
      </c>
      <c r="I23" s="147">
        <f>F23/(F24-295000)*100</f>
        <v>0.61695437445747681</v>
      </c>
    </row>
    <row r="24" spans="1:9">
      <c r="A24" s="66" t="s">
        <v>0</v>
      </c>
      <c r="B24" s="151">
        <f t="shared" ref="B24:I24" si="3">SUM(B13:B23)</f>
        <v>48110531.192908555</v>
      </c>
      <c r="C24" s="67">
        <f t="shared" si="3"/>
        <v>48110530.578885376</v>
      </c>
      <c r="D24" s="67">
        <f>SUM(D13:D23)</f>
        <v>48110530.266956307</v>
      </c>
      <c r="E24" s="67">
        <f t="shared" si="3"/>
        <v>48110529.96486219</v>
      </c>
      <c r="F24" s="151">
        <f t="shared" si="3"/>
        <v>48110529.350839004</v>
      </c>
      <c r="G24" s="86">
        <f t="shared" si="3"/>
        <v>-1.8420695587992668</v>
      </c>
      <c r="H24" s="68">
        <f t="shared" si="3"/>
        <v>100.61695435068962</v>
      </c>
      <c r="I24" s="68">
        <f t="shared" si="3"/>
        <v>100.61695437445749</v>
      </c>
    </row>
    <row r="25" spans="1:9" ht="15.75">
      <c r="A25" s="53"/>
      <c r="B25" s="54"/>
      <c r="C25" s="54"/>
      <c r="D25" s="54"/>
      <c r="E25" s="54"/>
      <c r="F25" s="54"/>
      <c r="G25" s="54"/>
      <c r="H25" s="54"/>
      <c r="I25" s="54"/>
    </row>
    <row r="26" spans="1:9">
      <c r="A26" s="55" t="s">
        <v>119</v>
      </c>
      <c r="B26" s="150"/>
      <c r="C26" s="150"/>
      <c r="E26" s="150"/>
      <c r="F26" s="150"/>
      <c r="G26" s="150"/>
      <c r="H26" s="150"/>
      <c r="I26" s="150"/>
    </row>
    <row r="27" spans="1:9">
      <c r="A27" s="55" t="s">
        <v>118</v>
      </c>
      <c r="B27" s="11"/>
      <c r="C27" s="150"/>
      <c r="E27" s="150"/>
      <c r="F27" s="150"/>
      <c r="G27" s="150"/>
      <c r="H27" s="150"/>
      <c r="I27" s="150"/>
    </row>
  </sheetData>
  <mergeCells count="4">
    <mergeCell ref="A3:A4"/>
    <mergeCell ref="C11:C12"/>
    <mergeCell ref="E11:E12"/>
    <mergeCell ref="F11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opLeftCell="A4" zoomScale="130" zoomScaleNormal="130" workbookViewId="0">
      <selection activeCell="F3" sqref="F3"/>
    </sheetView>
  </sheetViews>
  <sheetFormatPr defaultColWidth="9.140625" defaultRowHeight="15"/>
  <cols>
    <col min="1" max="1" width="24.42578125" style="2" customWidth="1"/>
    <col min="2" max="2" width="7.140625" style="4" customWidth="1"/>
    <col min="3" max="3" width="14.28515625" style="4" customWidth="1"/>
    <col min="4" max="4" width="12.85546875" style="4" customWidth="1"/>
    <col min="5" max="5" width="12.42578125" style="4" customWidth="1"/>
    <col min="6" max="6" width="7" style="4" customWidth="1"/>
    <col min="7" max="7" width="12.140625" style="12" customWidth="1"/>
    <col min="8" max="8" width="11" style="12" customWidth="1"/>
    <col min="9" max="9" width="12.85546875" style="12" customWidth="1"/>
    <col min="10" max="10" width="12.42578125" style="74" customWidth="1"/>
    <col min="11" max="11" width="9.5703125" style="4" customWidth="1"/>
    <col min="12" max="12" width="14.7109375" style="4" customWidth="1"/>
    <col min="13" max="13" width="11.140625" style="4" customWidth="1"/>
    <col min="14" max="14" width="12.28515625" style="4" customWidth="1"/>
    <col min="15" max="15" width="11.28515625" style="4" bestFit="1" customWidth="1"/>
    <col min="16" max="16" width="4.7109375" style="4" customWidth="1"/>
    <col min="17" max="17" width="14.7109375" style="4" customWidth="1"/>
    <col min="18" max="18" width="14.140625" style="4" bestFit="1" customWidth="1"/>
    <col min="19" max="19" width="15.85546875" style="4" bestFit="1" customWidth="1"/>
    <col min="20" max="20" width="13" style="4" customWidth="1"/>
    <col min="21" max="21" width="11.7109375" style="4" bestFit="1" customWidth="1"/>
    <col min="22" max="22" width="4.7109375" style="4" bestFit="1" customWidth="1"/>
    <col min="23" max="23" width="10.28515625" style="4" bestFit="1" customWidth="1"/>
    <col min="24" max="24" width="4.7109375" style="4" bestFit="1" customWidth="1"/>
    <col min="25" max="25" width="18.5703125" style="4" bestFit="1" customWidth="1"/>
    <col min="26" max="26" width="4.7109375" style="4" bestFit="1" customWidth="1"/>
    <col min="27" max="27" width="1.42578125" style="4" bestFit="1" customWidth="1"/>
    <col min="28" max="16384" width="9.140625" style="4"/>
  </cols>
  <sheetData>
    <row r="1" spans="1:17" ht="23.25">
      <c r="A1" s="48" t="s">
        <v>123</v>
      </c>
      <c r="B1" s="48"/>
      <c r="C1" s="48"/>
      <c r="D1" s="48"/>
      <c r="E1" s="48"/>
      <c r="J1" s="4"/>
    </row>
    <row r="2" spans="1:17" ht="15.75" customHeight="1">
      <c r="A2" s="2" t="s">
        <v>95</v>
      </c>
      <c r="B2" s="48"/>
      <c r="C2" s="90">
        <f>48110531*1.02</f>
        <v>49072741.619999997</v>
      </c>
      <c r="D2" s="48"/>
      <c r="E2" s="48"/>
      <c r="F2" s="4" t="s">
        <v>125</v>
      </c>
      <c r="J2" s="4"/>
    </row>
    <row r="3" spans="1:17" ht="18" customHeight="1">
      <c r="A3" s="69" t="s">
        <v>96</v>
      </c>
      <c r="B3" s="48"/>
      <c r="C3" s="90">
        <f>-(48110531*2/100)</f>
        <v>-962210.62</v>
      </c>
      <c r="D3" s="48"/>
      <c r="E3" s="90"/>
      <c r="F3" s="4" t="s">
        <v>126</v>
      </c>
      <c r="J3" s="4"/>
    </row>
    <row r="4" spans="1:17" ht="15" customHeight="1">
      <c r="A4" s="2" t="s">
        <v>97</v>
      </c>
      <c r="B4" s="48"/>
      <c r="C4" s="133">
        <v>-295000</v>
      </c>
      <c r="D4" s="48"/>
      <c r="E4" s="48"/>
      <c r="J4" s="4"/>
    </row>
    <row r="5" spans="1:17" ht="17.25">
      <c r="A5" s="13"/>
      <c r="B5" s="12"/>
      <c r="C5" s="134">
        <f>SUM(C2:C4)</f>
        <v>47815531</v>
      </c>
      <c r="D5" s="92"/>
      <c r="E5" s="92"/>
      <c r="F5" s="12"/>
      <c r="G5" s="4"/>
      <c r="J5" s="4"/>
    </row>
    <row r="6" spans="1:17">
      <c r="A6" s="13"/>
      <c r="B6" s="12"/>
      <c r="C6" s="91" t="s">
        <v>86</v>
      </c>
      <c r="D6" s="93"/>
      <c r="E6" s="92"/>
      <c r="F6" s="12"/>
      <c r="G6" s="58" t="s">
        <v>90</v>
      </c>
      <c r="H6" s="13"/>
      <c r="J6" s="4"/>
    </row>
    <row r="7" spans="1:17" s="5" customFormat="1" ht="75.75" customHeight="1">
      <c r="A7" s="161"/>
      <c r="B7" s="161"/>
      <c r="C7" s="60" t="s">
        <v>70</v>
      </c>
      <c r="D7" s="60" t="s">
        <v>11</v>
      </c>
      <c r="E7" s="60" t="s">
        <v>0</v>
      </c>
      <c r="F7" s="71" t="s">
        <v>120</v>
      </c>
      <c r="G7" s="14" t="s">
        <v>13</v>
      </c>
      <c r="H7" s="60" t="s">
        <v>12</v>
      </c>
      <c r="I7" s="14" t="s">
        <v>0</v>
      </c>
      <c r="J7" s="71" t="s">
        <v>73</v>
      </c>
    </row>
    <row r="8" spans="1:17" s="5" customFormat="1" ht="15.75" customHeight="1">
      <c r="A8" s="106"/>
      <c r="B8" s="106"/>
      <c r="C8" s="60">
        <v>75</v>
      </c>
      <c r="D8" s="60">
        <v>25</v>
      </c>
      <c r="E8" s="60"/>
      <c r="F8" s="71"/>
      <c r="G8" s="14">
        <v>70</v>
      </c>
      <c r="H8" s="60">
        <v>30</v>
      </c>
      <c r="I8" s="14"/>
      <c r="J8" s="71"/>
    </row>
    <row r="9" spans="1:17" ht="15" customHeight="1">
      <c r="A9" s="13" t="s">
        <v>1</v>
      </c>
      <c r="B9" s="12"/>
      <c r="C9" s="94">
        <f>(E20*C8/100)*('ny m2'!F8/'ny m2'!F18)</f>
        <v>849495.4665906278</v>
      </c>
      <c r="D9" s="94">
        <f>('Formål 2'!C33/'Formål 2'!M33)*('18-19-19 BB-Model'!E20*'18-19-19 BB-Model'!D8/100)</f>
        <v>199868.83776713145</v>
      </c>
      <c r="E9" s="94">
        <f t="shared" ref="E9:E17" si="0">SUM(C9:D9)</f>
        <v>1049364.3043577592</v>
      </c>
      <c r="F9" s="72">
        <f t="shared" ref="F9:F18" si="1">E9/$C$5*100</f>
        <v>2.1946097479452003</v>
      </c>
      <c r="G9" s="15">
        <f>(I20*G8/100)*('Formål 3 skal'!C33/'Formål 3 skal'!M33)</f>
        <v>911549.60580655071</v>
      </c>
      <c r="H9" s="15">
        <f>(I20*H8/100)*('Formål 3 kan'!L6/'Formål 3 kan'!L16)</f>
        <v>1007716.19016096</v>
      </c>
      <c r="I9" s="15">
        <f t="shared" ref="I9:I18" si="2">SUM(G9:H9)</f>
        <v>1919265.7959675107</v>
      </c>
      <c r="J9" s="72">
        <f>I9/$C$5*100</f>
        <v>4.0138962295901521</v>
      </c>
      <c r="Q9" s="116"/>
    </row>
    <row r="10" spans="1:17">
      <c r="A10" s="13" t="s">
        <v>2</v>
      </c>
      <c r="B10" s="12"/>
      <c r="C10" s="94">
        <f>(E20*C8/100)*('ny m2'!F9/'ny m2'!F18)</f>
        <v>944447.46966728126</v>
      </c>
      <c r="D10" s="94">
        <f>('Formål 2'!D33/'Formål 2'!M33)*'18-19-19 BB-Model'!E20*'18-19-19 BB-Model'!D8/100</f>
        <v>422358.93367696129</v>
      </c>
      <c r="E10" s="94">
        <f t="shared" si="0"/>
        <v>1366806.4033442426</v>
      </c>
      <c r="F10" s="72">
        <f t="shared" si="1"/>
        <v>2.8584988491380399</v>
      </c>
      <c r="G10" s="15">
        <f>(I20*G8/100)*('Formål 3 skal'!D33/'Formål 3 skal'!M33)</f>
        <v>1936716.4260904223</v>
      </c>
      <c r="H10" s="15">
        <f>(I20*H8/100)*('Formål 3 kan'!L7/'Formål 3 kan'!L16)</f>
        <v>1158139.8447602293</v>
      </c>
      <c r="I10" s="15">
        <f t="shared" si="2"/>
        <v>3094856.2708506519</v>
      </c>
      <c r="J10" s="72">
        <f t="shared" ref="J10:J18" si="3">I10/$C$5*100</f>
        <v>6.4724916907241958</v>
      </c>
    </row>
    <row r="11" spans="1:17">
      <c r="A11" s="13" t="s">
        <v>3</v>
      </c>
      <c r="B11" s="12"/>
      <c r="C11" s="94">
        <f>(E20*C8/100)*('ny m2'!F10/'ny m2'!F18)</f>
        <v>1101379.8286754398</v>
      </c>
      <c r="D11" s="94">
        <f>('Formål 2'!E33/'Formål 2'!M33)*('18-19-19 BB-Model'!E20*'18-19-19 BB-Model'!D8/100)</f>
        <v>599606.51330139441</v>
      </c>
      <c r="E11" s="94">
        <f t="shared" si="0"/>
        <v>1700986.3419768342</v>
      </c>
      <c r="F11" s="72">
        <f t="shared" si="1"/>
        <v>3.5573929775596014</v>
      </c>
      <c r="G11" s="15">
        <f>(I20*G8/100)*('Formål 3 skal'!E33/'Formål 3 skal'!M33)</f>
        <v>2734648.8174196524</v>
      </c>
      <c r="H11" s="15">
        <f>(I20*H8/100)*('Formål 3 kan'!L8/'Formål 3 kan'!L16)</f>
        <v>503246.6168097512</v>
      </c>
      <c r="I11" s="15">
        <f t="shared" si="2"/>
        <v>3237895.4342294037</v>
      </c>
      <c r="J11" s="72">
        <f t="shared" si="3"/>
        <v>6.7716396043565927</v>
      </c>
    </row>
    <row r="12" spans="1:17">
      <c r="A12" s="13" t="s">
        <v>4</v>
      </c>
      <c r="B12" s="12"/>
      <c r="C12" s="94">
        <f>(E20*C8/100)*('ny m2'!F11/'ny m2'!F18)</f>
        <v>876697.07548537524</v>
      </c>
      <c r="D12" s="94">
        <f>('Formål 2'!F33/'Formål 2'!M33)*(E20*D8/100)</f>
        <v>224780.85622807764</v>
      </c>
      <c r="E12" s="94">
        <f t="shared" si="0"/>
        <v>1101477.9317134528</v>
      </c>
      <c r="F12" s="72">
        <f t="shared" si="1"/>
        <v>2.3035986606808838</v>
      </c>
      <c r="G12" s="15">
        <f>(I20*G8/100)*('Formål 3 skal'!F33/'Formål 3 skal'!M33)</f>
        <v>1443069.2183613733</v>
      </c>
      <c r="H12" s="15">
        <f>(I20*H8/100)*('Formål 3 kan'!L9/'Formål 3 kan'!L16)</f>
        <v>821826.79585942358</v>
      </c>
      <c r="I12" s="15">
        <f t="shared" si="2"/>
        <v>2264896.014220797</v>
      </c>
      <c r="J12" s="72">
        <f t="shared" si="3"/>
        <v>4.7367371371883271</v>
      </c>
    </row>
    <row r="13" spans="1:17">
      <c r="A13" s="13" t="s">
        <v>5</v>
      </c>
      <c r="B13" s="12"/>
      <c r="C13" s="94">
        <f>(E20*C8/100)*('ny m2'!F12/'ny m2'!F18)</f>
        <v>2314229.1875069775</v>
      </c>
      <c r="D13" s="94">
        <f>('Formål 2'!G33/'Formål 2'!M33)*(E20*D8/100)</f>
        <v>501103.81961673358</v>
      </c>
      <c r="E13" s="94">
        <f t="shared" si="0"/>
        <v>2815333.0071237111</v>
      </c>
      <c r="F13" s="72">
        <f t="shared" si="1"/>
        <v>5.8879049301443738</v>
      </c>
      <c r="G13" s="15">
        <f>(I20*G8/100)*('Formål 3 skal'!G33/'Formål 3 skal'!M33)</f>
        <v>2378125.8340597837</v>
      </c>
      <c r="H13" s="15">
        <f>(I20*H8/100)*('Formål 3 kan'!L10/'Formål 3 kan'!L16)</f>
        <v>647555.48870173329</v>
      </c>
      <c r="I13" s="15">
        <f t="shared" si="2"/>
        <v>3025681.322761517</v>
      </c>
      <c r="J13" s="72">
        <f t="shared" si="3"/>
        <v>6.3278212318953795</v>
      </c>
    </row>
    <row r="14" spans="1:17">
      <c r="A14" s="13" t="s">
        <v>6</v>
      </c>
      <c r="B14" s="12"/>
      <c r="C14" s="94">
        <f>(E20*C8/100)*('ny m2'!F13/'ny m2'!F18)</f>
        <v>852095.15415399533</v>
      </c>
      <c r="D14" s="94">
        <f>('Formål 2'!H33/'Formål 2'!M33)*(E20*D8/100)</f>
        <v>381984.28306784155</v>
      </c>
      <c r="E14" s="94">
        <f t="shared" si="0"/>
        <v>1234079.4372218368</v>
      </c>
      <c r="F14" s="72">
        <f t="shared" si="1"/>
        <v>2.5809175625840832</v>
      </c>
      <c r="G14" s="15">
        <f>(I20*G8/100)*('Formål 3 skal'!H33/'Formål 3 skal'!M33)</f>
        <v>1742130.6219855857</v>
      </c>
      <c r="H14" s="15">
        <f>(I20*H8/100)*('Formål 3 kan'!L11/'Formål 3 kan'!L16)</f>
        <v>520368.00839015591</v>
      </c>
      <c r="I14" s="15">
        <f t="shared" si="2"/>
        <v>2262498.6303757415</v>
      </c>
      <c r="J14" s="72">
        <f t="shared" si="3"/>
        <v>4.7317233188851153</v>
      </c>
    </row>
    <row r="15" spans="1:17">
      <c r="A15" s="13" t="s">
        <v>7</v>
      </c>
      <c r="B15" s="12"/>
      <c r="C15" s="94">
        <f>(E20*C8/100)*('ny m2'!F14/'ny m2'!F18)</f>
        <v>978940.88514220575</v>
      </c>
      <c r="D15" s="94">
        <f>('Formål 2'!I33/'Formål 2'!M33)*(E20*D8/100)</f>
        <v>353063.43404996145</v>
      </c>
      <c r="E15" s="94">
        <f t="shared" si="0"/>
        <v>1332004.3191921671</v>
      </c>
      <c r="F15" s="72">
        <f t="shared" si="1"/>
        <v>2.7857147904352817</v>
      </c>
      <c r="G15" s="15">
        <f>(I20*G8/100)*('Formål 3 skal'!I33/'Formål 3 skal'!M33)</f>
        <v>1962835.3259702662</v>
      </c>
      <c r="H15" s="15">
        <f>(I20*H8/100)*('Formål 3 kan'!L12/'Formål 3 kan'!L16)</f>
        <v>547884.53057294909</v>
      </c>
      <c r="I15" s="15">
        <f t="shared" si="2"/>
        <v>2510719.8565432155</v>
      </c>
      <c r="J15" s="72">
        <f t="shared" si="3"/>
        <v>5.2508459156151908</v>
      </c>
    </row>
    <row r="16" spans="1:17">
      <c r="A16" s="13" t="s">
        <v>15</v>
      </c>
      <c r="B16" s="12"/>
      <c r="C16" s="94">
        <f>(E20*C8/100)*('ny m2'!F15/'ny m2'!F18)</f>
        <v>651221.73462355242</v>
      </c>
      <c r="D16" s="94">
        <f>('Formål 2'!J33/'Formål 2'!M33)*(E20*D8/100)</f>
        <v>162071.2925160407</v>
      </c>
      <c r="E16" s="94">
        <f t="shared" si="0"/>
        <v>813293.02713959315</v>
      </c>
      <c r="F16" s="72">
        <f t="shared" si="1"/>
        <v>1.7008971983174108</v>
      </c>
      <c r="G16" s="15">
        <f>(I20*G8/100)*('Formål 3 skal'!J33/'Formål 3 skal'!M33)</f>
        <v>739164.86659958132</v>
      </c>
      <c r="H16" s="15">
        <f>(I20*H8/100)*('Formål 3 kan'!L13/'Formål 3 kan'!L16)</f>
        <v>377282.0930396312</v>
      </c>
      <c r="I16" s="15">
        <f t="shared" si="2"/>
        <v>1116446.9596392126</v>
      </c>
      <c r="J16" s="72">
        <f t="shared" si="3"/>
        <v>2.3349044469237676</v>
      </c>
    </row>
    <row r="17" spans="1:21">
      <c r="A17" s="13" t="s">
        <v>16</v>
      </c>
      <c r="B17" s="12"/>
      <c r="C17" s="94">
        <f>(E20*C8/100)*('ny m2'!F16/'ny m2'!F18)</f>
        <v>904596.16153127013</v>
      </c>
      <c r="D17" s="94">
        <f>('Formål 2'!K33/'Formål 2'!M33)*(E20*D8/100)</f>
        <v>250265.56476858584</v>
      </c>
      <c r="E17" s="94">
        <f t="shared" si="0"/>
        <v>1154861.7262998559</v>
      </c>
      <c r="F17" s="72">
        <f t="shared" si="1"/>
        <v>2.4152439639326726</v>
      </c>
      <c r="G17" s="15">
        <f>(I20*G8/100)*('Formål 3 skal'!K33/'Formål 3 skal'!M33)</f>
        <v>1141395.9247491769</v>
      </c>
      <c r="H17" s="15">
        <f>(I20*H8/100)*('Formål 3 kan'!L14/'Formål 3 kan'!L16)</f>
        <v>539935.31305347546</v>
      </c>
      <c r="I17" s="15">
        <f t="shared" si="2"/>
        <v>1681331.2378026524</v>
      </c>
      <c r="J17" s="72">
        <f t="shared" si="3"/>
        <v>3.5162868688055613</v>
      </c>
    </row>
    <row r="18" spans="1:21" ht="17.25">
      <c r="A18" s="13" t="s">
        <v>8</v>
      </c>
      <c r="B18" s="12"/>
      <c r="C18" s="110">
        <f>(E20*C8/100)*('ny m2'!F17/'ny m2'!F18)</f>
        <v>568158.54662327457</v>
      </c>
      <c r="D18" s="94">
        <f>('Formål 2'!L33/'Formål 2'!M33)*(E20*D8/100)</f>
        <v>251983.63500727178</v>
      </c>
      <c r="E18" s="110">
        <f>SUM(C18:D18)</f>
        <v>820142.18163054634</v>
      </c>
      <c r="F18" s="111">
        <f t="shared" si="1"/>
        <v>1.7152213192624512</v>
      </c>
      <c r="G18" s="15">
        <f>(I20*G8/100)*('Formål 3 skal'!L33/'Formål 3 skal'!M33)</f>
        <v>1185798.0545449115</v>
      </c>
      <c r="H18" s="112">
        <f>(I20*H8/100)*('Formål 3 kan'!L15/'Formål 3 kan'!L16)</f>
        <v>808374.27390339144</v>
      </c>
      <c r="I18" s="112">
        <f t="shared" si="2"/>
        <v>1994172.328448303</v>
      </c>
      <c r="J18" s="72">
        <f t="shared" si="3"/>
        <v>4.1705535560157285</v>
      </c>
    </row>
    <row r="19" spans="1:21" s="2" customFormat="1">
      <c r="A19" s="13" t="s">
        <v>0</v>
      </c>
      <c r="B19" s="13"/>
      <c r="C19" s="95">
        <f t="shared" ref="C19:D19" si="4">SUM(C9:C18)</f>
        <v>10041261.51</v>
      </c>
      <c r="D19" s="95">
        <f t="shared" si="4"/>
        <v>3347087.17</v>
      </c>
      <c r="E19" s="95">
        <f t="shared" ref="E19:J19" si="5">SUM(E9:E18)</f>
        <v>13388348.679999998</v>
      </c>
      <c r="F19" s="117">
        <f t="shared" si="5"/>
        <v>27.999999999999996</v>
      </c>
      <c r="G19" s="16">
        <f t="shared" si="5"/>
        <v>16175434.695587303</v>
      </c>
      <c r="H19" s="16">
        <f t="shared" si="5"/>
        <v>6932329.1552517004</v>
      </c>
      <c r="I19" s="113">
        <f t="shared" si="5"/>
        <v>23107763.850839004</v>
      </c>
      <c r="J19" s="117">
        <f t="shared" si="5"/>
        <v>48.326900000000002</v>
      </c>
    </row>
    <row r="20" spans="1:21">
      <c r="A20" s="12"/>
      <c r="B20" s="12"/>
      <c r="C20" s="94"/>
      <c r="D20" s="94"/>
      <c r="E20" s="94">
        <f>C5*28/100</f>
        <v>13388348.68</v>
      </c>
      <c r="F20" s="73">
        <f>E19/$C$5*100</f>
        <v>27.999999999999996</v>
      </c>
      <c r="G20" s="15"/>
      <c r="H20" s="15"/>
      <c r="I20" s="16">
        <f>C5*48.3269/100</f>
        <v>23107763.850839</v>
      </c>
      <c r="J20" s="115">
        <f>I20/$C$5*100</f>
        <v>48.326900000000002</v>
      </c>
    </row>
    <row r="21" spans="1:21" s="6" customFormat="1" ht="15.6" customHeight="1">
      <c r="A21" s="58"/>
      <c r="B21" s="17"/>
      <c r="D21" s="17"/>
      <c r="E21" s="17"/>
      <c r="F21" s="17"/>
      <c r="H21" s="17"/>
      <c r="I21" s="17"/>
      <c r="K21" s="137"/>
      <c r="L21" s="137"/>
      <c r="M21" s="2"/>
      <c r="N21" s="13"/>
      <c r="O21" s="13"/>
      <c r="Q21" s="103"/>
      <c r="S21" s="96"/>
    </row>
    <row r="22" spans="1:21" s="6" customFormat="1" ht="15.6" customHeight="1">
      <c r="A22" s="58"/>
      <c r="B22" s="17"/>
      <c r="C22" s="58" t="s">
        <v>87</v>
      </c>
      <c r="D22" s="58"/>
      <c r="E22" s="17"/>
      <c r="F22" s="17"/>
      <c r="G22" s="58" t="s">
        <v>89</v>
      </c>
      <c r="H22" s="58"/>
      <c r="I22" s="58"/>
      <c r="K22" s="138"/>
      <c r="L22" s="138"/>
      <c r="N22" s="58"/>
      <c r="O22" s="58"/>
      <c r="S22" s="105"/>
    </row>
    <row r="23" spans="1:21" s="6" customFormat="1" ht="42.75" customHeight="1">
      <c r="A23" s="58"/>
      <c r="B23" s="17"/>
      <c r="C23" s="14" t="s">
        <v>9</v>
      </c>
      <c r="D23" s="14" t="s">
        <v>10</v>
      </c>
      <c r="E23" s="14" t="s">
        <v>0</v>
      </c>
      <c r="F23" s="71" t="s">
        <v>120</v>
      </c>
      <c r="G23" s="106"/>
      <c r="H23" s="71" t="s">
        <v>73</v>
      </c>
      <c r="J23" s="97" t="s">
        <v>110</v>
      </c>
      <c r="K23" s="97" t="s">
        <v>111</v>
      </c>
      <c r="L23" s="139" t="s">
        <v>112</v>
      </c>
      <c r="M23" s="139" t="s">
        <v>113</v>
      </c>
    </row>
    <row r="24" spans="1:21" s="6" customFormat="1" ht="15.75" customHeight="1">
      <c r="A24" s="58"/>
      <c r="B24" s="17"/>
      <c r="C24" s="14">
        <v>50</v>
      </c>
      <c r="D24" s="14">
        <v>50</v>
      </c>
      <c r="E24" s="14"/>
      <c r="F24" s="71"/>
      <c r="G24" s="106"/>
      <c r="H24" s="71"/>
      <c r="J24" s="97"/>
      <c r="K24" s="97"/>
      <c r="L24" s="102"/>
      <c r="M24" s="102"/>
    </row>
    <row r="25" spans="1:21">
      <c r="A25" s="13" t="s">
        <v>1</v>
      </c>
      <c r="B25" s="12"/>
      <c r="C25" s="15">
        <f t="shared" ref="C25:C34" si="6">($E$36*$C$24/100)/10</f>
        <v>525970.84100000001</v>
      </c>
      <c r="D25" s="15">
        <f>(E36*D24/100)*(Indbyggere!G3/Indbyggere!G13)</f>
        <v>571345.4489220191</v>
      </c>
      <c r="E25" s="15">
        <f>SUM(C25:D25)</f>
        <v>1097316.289922019</v>
      </c>
      <c r="F25" s="72">
        <f>E25/$C$5*100</f>
        <v>2.2948951250212386</v>
      </c>
      <c r="G25" s="15">
        <v>50000</v>
      </c>
      <c r="H25" s="72">
        <f t="shared" ref="H25:H34" si="7">G25/$C$5*100</f>
        <v>0.10456853443706399</v>
      </c>
      <c r="J25" s="98">
        <f t="shared" ref="J25:J35" si="8">E9+I9+E25+G25</f>
        <v>4115946.3902472886</v>
      </c>
      <c r="K25" s="99">
        <f t="shared" ref="K25:K35" si="9">J25/$J$35*100</f>
        <v>8.6079699338831368</v>
      </c>
      <c r="L25" s="143">
        <v>4177827.1357164308</v>
      </c>
      <c r="M25" s="140">
        <f>L25/L35*100</f>
        <v>8.7373851790148844</v>
      </c>
      <c r="N25" s="103">
        <f t="shared" ref="N25:N35" si="10">J25-L25</f>
        <v>-61880.745469142217</v>
      </c>
      <c r="T25" s="1"/>
      <c r="U25" s="104"/>
    </row>
    <row r="26" spans="1:21">
      <c r="A26" s="13" t="s">
        <v>2</v>
      </c>
      <c r="B26" s="12"/>
      <c r="C26" s="15">
        <f t="shared" si="6"/>
        <v>525970.84100000001</v>
      </c>
      <c r="D26" s="15">
        <f>(E36*D24/100)*(Indbyggere!G4/Indbyggere!G13)</f>
        <v>812070.33736718562</v>
      </c>
      <c r="E26" s="15">
        <f t="shared" ref="E26:E34" si="11">SUM(C26:D26)</f>
        <v>1338041.1783671856</v>
      </c>
      <c r="F26" s="72">
        <f t="shared" ref="F26:F34" si="12">E26/$C$5*100</f>
        <v>2.7983401007659743</v>
      </c>
      <c r="G26" s="15">
        <v>150000</v>
      </c>
      <c r="H26" s="72">
        <f t="shared" si="7"/>
        <v>0.31370560331119191</v>
      </c>
      <c r="J26" s="98">
        <f t="shared" si="8"/>
        <v>5949703.8525620801</v>
      </c>
      <c r="K26" s="99">
        <f t="shared" si="9"/>
        <v>12.443036673100604</v>
      </c>
      <c r="L26" s="143">
        <v>6053976.5139491707</v>
      </c>
      <c r="M26" s="141">
        <f>L26/L35*100</f>
        <v>12.661108980521011</v>
      </c>
      <c r="N26" s="103">
        <f t="shared" si="10"/>
        <v>-104272.66138709057</v>
      </c>
      <c r="T26" s="1"/>
      <c r="U26" s="104"/>
    </row>
    <row r="27" spans="1:21">
      <c r="A27" s="13" t="s">
        <v>3</v>
      </c>
      <c r="B27" s="12"/>
      <c r="C27" s="15">
        <f t="shared" si="6"/>
        <v>525970.84100000001</v>
      </c>
      <c r="D27" s="15">
        <f>(E36*D24/100)*(Indbyggere!G5/Indbyggere!G13)</f>
        <v>508259.80689369648</v>
      </c>
      <c r="E27" s="15">
        <f t="shared" si="11"/>
        <v>1034230.6478936966</v>
      </c>
      <c r="F27" s="72">
        <f t="shared" si="12"/>
        <v>2.16295966240278</v>
      </c>
      <c r="G27" s="15">
        <v>100000</v>
      </c>
      <c r="H27" s="72">
        <f t="shared" si="7"/>
        <v>0.20913706887412797</v>
      </c>
      <c r="J27" s="98">
        <f t="shared" si="8"/>
        <v>6073112.4240999352</v>
      </c>
      <c r="K27" s="99">
        <f t="shared" si="9"/>
        <v>12.701129751255952</v>
      </c>
      <c r="L27" s="143">
        <v>6292350.0248675449</v>
      </c>
      <c r="M27" s="141">
        <f>L27/L35*100</f>
        <v>13.159636352216776</v>
      </c>
      <c r="N27" s="103">
        <f t="shared" si="10"/>
        <v>-219237.60076760966</v>
      </c>
      <c r="T27" s="1"/>
      <c r="U27" s="104"/>
    </row>
    <row r="28" spans="1:21">
      <c r="A28" s="13" t="s">
        <v>4</v>
      </c>
      <c r="B28" s="12"/>
      <c r="C28" s="15">
        <f t="shared" si="6"/>
        <v>525970.84100000001</v>
      </c>
      <c r="D28" s="15">
        <f>(E36*D24/100)*(Indbyggere!G6/Indbyggere!G13)</f>
        <v>273371.11545606487</v>
      </c>
      <c r="E28" s="15">
        <f t="shared" si="11"/>
        <v>799341.95645606495</v>
      </c>
      <c r="F28" s="72">
        <f t="shared" si="12"/>
        <v>1.6717203380133223</v>
      </c>
      <c r="G28" s="15">
        <v>50000</v>
      </c>
      <c r="H28" s="72">
        <f t="shared" si="7"/>
        <v>0.10456853443706399</v>
      </c>
      <c r="J28" s="98">
        <f t="shared" si="8"/>
        <v>4215715.9023903152</v>
      </c>
      <c r="K28" s="99">
        <f t="shared" si="9"/>
        <v>8.8166249744056078</v>
      </c>
      <c r="L28" s="143">
        <v>4102382.1125983922</v>
      </c>
      <c r="M28" s="141">
        <f>L28/L35*100</f>
        <v>8.5796016696909767</v>
      </c>
      <c r="N28" s="103">
        <f t="shared" si="10"/>
        <v>113333.78979192302</v>
      </c>
      <c r="T28" s="1"/>
      <c r="U28" s="104"/>
    </row>
    <row r="29" spans="1:21">
      <c r="A29" s="13" t="s">
        <v>5</v>
      </c>
      <c r="B29" s="12"/>
      <c r="C29" s="15">
        <f t="shared" si="6"/>
        <v>525970.84100000001</v>
      </c>
      <c r="D29" s="15">
        <f>(E36*D24/100)*(Indbyggere!G7/Indbyggere!G13)</f>
        <v>593468.28320370615</v>
      </c>
      <c r="E29" s="15">
        <f t="shared" si="11"/>
        <v>1119439.1242037062</v>
      </c>
      <c r="F29" s="72">
        <f t="shared" si="12"/>
        <v>2.3411621721898395</v>
      </c>
      <c r="G29" s="15">
        <v>150000</v>
      </c>
      <c r="H29" s="72">
        <f t="shared" si="7"/>
        <v>0.31370560331119191</v>
      </c>
      <c r="J29" s="98">
        <f t="shared" si="8"/>
        <v>7110453.4540889338</v>
      </c>
      <c r="K29" s="99">
        <f t="shared" si="9"/>
        <v>14.870594450428623</v>
      </c>
      <c r="L29" s="143">
        <v>7230024.1878989134</v>
      </c>
      <c r="M29" s="141">
        <f>L29/L35*100</f>
        <v>15.120660604458969</v>
      </c>
      <c r="N29" s="103">
        <f t="shared" si="10"/>
        <v>-119570.73380997963</v>
      </c>
      <c r="T29" s="1"/>
      <c r="U29" s="104"/>
    </row>
    <row r="30" spans="1:21">
      <c r="A30" s="13" t="s">
        <v>6</v>
      </c>
      <c r="B30" s="12"/>
      <c r="C30" s="15">
        <f t="shared" si="6"/>
        <v>525970.84100000001</v>
      </c>
      <c r="D30" s="15">
        <f>(E36*D24/100)*(Indbyggere!G8/Indbyggere!G13)</f>
        <v>583929.74871951633</v>
      </c>
      <c r="E30" s="15">
        <f t="shared" si="11"/>
        <v>1109900.5897195162</v>
      </c>
      <c r="F30" s="72">
        <f t="shared" si="12"/>
        <v>2.3212135607560569</v>
      </c>
      <c r="G30" s="15">
        <v>100000</v>
      </c>
      <c r="H30" s="72">
        <f t="shared" si="7"/>
        <v>0.20913706887412797</v>
      </c>
      <c r="J30" s="98">
        <f t="shared" si="8"/>
        <v>4706478.6573170945</v>
      </c>
      <c r="K30" s="99">
        <f t="shared" si="9"/>
        <v>9.842991850584859</v>
      </c>
      <c r="L30" s="143">
        <v>5147561.990750663</v>
      </c>
      <c r="M30" s="141">
        <f>L30/L35*100</f>
        <v>10.765460222502119</v>
      </c>
      <c r="N30" s="103">
        <f t="shared" si="10"/>
        <v>-441083.33343356848</v>
      </c>
      <c r="T30" s="1"/>
      <c r="U30" s="104"/>
    </row>
    <row r="31" spans="1:21">
      <c r="A31" s="13" t="s">
        <v>7</v>
      </c>
      <c r="B31" s="12"/>
      <c r="C31" s="15">
        <f t="shared" si="6"/>
        <v>525970.84100000001</v>
      </c>
      <c r="D31" s="15">
        <f>(E36*D24/100)*(Indbyggere!G9/Indbyggere!G13)</f>
        <v>507858.56834942842</v>
      </c>
      <c r="E31" s="15">
        <f t="shared" si="11"/>
        <v>1033829.4093494285</v>
      </c>
      <c r="F31" s="72">
        <f t="shared" si="12"/>
        <v>2.1621205238721042</v>
      </c>
      <c r="G31" s="15">
        <v>100000</v>
      </c>
      <c r="H31" s="72">
        <f t="shared" si="7"/>
        <v>0.20913706887412797</v>
      </c>
      <c r="J31" s="98">
        <f t="shared" si="8"/>
        <v>4976553.5850848109</v>
      </c>
      <c r="K31" s="99">
        <f t="shared" si="9"/>
        <v>10.407818657763094</v>
      </c>
      <c r="L31" s="143">
        <v>4507858.2272233926</v>
      </c>
      <c r="M31" s="141">
        <f>L31/L35*100</f>
        <v>9.4276025273811985</v>
      </c>
      <c r="N31" s="103">
        <f t="shared" si="10"/>
        <v>468695.35786141828</v>
      </c>
      <c r="T31" s="1"/>
      <c r="U31" s="104"/>
    </row>
    <row r="32" spans="1:21">
      <c r="A32" s="13" t="s">
        <v>15</v>
      </c>
      <c r="B32" s="12"/>
      <c r="C32" s="15">
        <f t="shared" si="6"/>
        <v>525970.84100000001</v>
      </c>
      <c r="D32" s="15">
        <f>(E36*D24/100)*(Indbyggere!G10/Indbyggere!G13)</f>
        <v>582124.17527031014</v>
      </c>
      <c r="E32" s="15">
        <f>SUM(C32:D32)</f>
        <v>1108095.0162703102</v>
      </c>
      <c r="F32" s="72">
        <f t="shared" si="12"/>
        <v>2.3174374373680178</v>
      </c>
      <c r="G32" s="15">
        <v>50000</v>
      </c>
      <c r="H32" s="72">
        <f t="shared" si="7"/>
        <v>0.10456853443706399</v>
      </c>
      <c r="J32" s="98">
        <f t="shared" si="8"/>
        <v>3087835.0030491157</v>
      </c>
      <c r="K32" s="99">
        <f t="shared" si="9"/>
        <v>6.4578078397765024</v>
      </c>
      <c r="L32" s="143">
        <v>2979995.1065100986</v>
      </c>
      <c r="M32" s="141">
        <f>L32/L35*100</f>
        <v>6.2322743932039737</v>
      </c>
      <c r="N32" s="103">
        <f t="shared" si="10"/>
        <v>107839.89653901709</v>
      </c>
      <c r="T32" s="1"/>
      <c r="U32" s="104"/>
    </row>
    <row r="33" spans="1:21">
      <c r="A33" s="13" t="s">
        <v>16</v>
      </c>
      <c r="B33" s="12"/>
      <c r="C33" s="15">
        <f t="shared" si="6"/>
        <v>525970.84100000001</v>
      </c>
      <c r="D33" s="15">
        <f>(E36*D24/100)*(Indbyggere!G11/Indbyggere!G13)</f>
        <v>453472.50748546247</v>
      </c>
      <c r="E33" s="15">
        <f t="shared" si="11"/>
        <v>979443.34848546248</v>
      </c>
      <c r="F33" s="72">
        <f t="shared" si="12"/>
        <v>2.0483791103051066</v>
      </c>
      <c r="G33" s="15">
        <v>50000</v>
      </c>
      <c r="H33" s="72">
        <f t="shared" si="7"/>
        <v>0.10456853443706399</v>
      </c>
      <c r="J33" s="98">
        <f t="shared" si="8"/>
        <v>3865636.3125879709</v>
      </c>
      <c r="K33" s="99">
        <f t="shared" si="9"/>
        <v>8.0844787563146401</v>
      </c>
      <c r="L33" s="143">
        <v>3888335.886241979</v>
      </c>
      <c r="M33" s="141">
        <f>L33/L35*100</f>
        <v>8.1319516676595072</v>
      </c>
      <c r="N33" s="103">
        <f t="shared" si="10"/>
        <v>-22699.573654008098</v>
      </c>
      <c r="T33" s="1"/>
      <c r="U33" s="104"/>
    </row>
    <row r="34" spans="1:21">
      <c r="A34" s="13" t="s">
        <v>8</v>
      </c>
      <c r="B34" s="12"/>
      <c r="C34" s="15">
        <f t="shared" si="6"/>
        <v>525970.84100000001</v>
      </c>
      <c r="D34" s="15">
        <f>(E36*D24/100)*(Indbyggere!G12/Indbyggere!G13)</f>
        <v>373808.41833261098</v>
      </c>
      <c r="E34" s="15">
        <f t="shared" si="11"/>
        <v>899779.25933261099</v>
      </c>
      <c r="F34" s="72">
        <f t="shared" si="12"/>
        <v>1.881771969305561</v>
      </c>
      <c r="G34" s="15">
        <v>0</v>
      </c>
      <c r="H34" s="72">
        <f t="shared" si="7"/>
        <v>0</v>
      </c>
      <c r="J34" s="98">
        <f t="shared" si="8"/>
        <v>3714093.7694114605</v>
      </c>
      <c r="K34" s="99">
        <f t="shared" si="9"/>
        <v>7.7675471124869819</v>
      </c>
      <c r="L34" s="143">
        <f>3635220.00715198-200000</f>
        <v>3435220.00715198</v>
      </c>
      <c r="M34" s="141">
        <f>L34/L35*100</f>
        <v>7.1843184033506073</v>
      </c>
      <c r="N34" s="103">
        <f t="shared" si="10"/>
        <v>278873.76225948054</v>
      </c>
      <c r="T34" s="1"/>
      <c r="U34" s="104"/>
    </row>
    <row r="35" spans="1:21">
      <c r="A35" s="13" t="s">
        <v>0</v>
      </c>
      <c r="B35" s="12"/>
      <c r="C35" s="16">
        <f>SUM(C25:C34)</f>
        <v>5259708.41</v>
      </c>
      <c r="D35" s="16">
        <f>SUM(D25:D34)</f>
        <v>5259708.4100000011</v>
      </c>
      <c r="E35" s="16">
        <f>SUM(E25:E34)</f>
        <v>10519416.82</v>
      </c>
      <c r="F35" s="114">
        <f>SUM(F25:F34)</f>
        <v>22.000000000000004</v>
      </c>
      <c r="G35" s="16">
        <f t="shared" ref="G35" si="13">SUM(G25:G34)</f>
        <v>800000</v>
      </c>
      <c r="H35" s="114">
        <f>SUM(H25:H34)</f>
        <v>1.6730965509930233</v>
      </c>
      <c r="J35" s="100">
        <f t="shared" si="8"/>
        <v>47815529.350839004</v>
      </c>
      <c r="K35" s="101">
        <f t="shared" si="9"/>
        <v>100</v>
      </c>
      <c r="L35" s="144">
        <f>SUM(L25:L34)</f>
        <v>47815531.192908555</v>
      </c>
      <c r="M35" s="142">
        <f>SUM(M25:M34)</f>
        <v>100.00000000000001</v>
      </c>
      <c r="N35" s="103">
        <f t="shared" si="10"/>
        <v>-1.8420695513486862</v>
      </c>
    </row>
    <row r="36" spans="1:21">
      <c r="A36" s="4"/>
      <c r="C36" s="12"/>
      <c r="D36" s="12"/>
      <c r="E36" s="59">
        <f>C5*22/100</f>
        <v>10519416.82</v>
      </c>
      <c r="F36" s="73">
        <f>E35/$C$5*100</f>
        <v>22</v>
      </c>
      <c r="G36" s="59">
        <f>C5*1.6731/100</f>
        <v>800001.64916099992</v>
      </c>
      <c r="H36" s="72">
        <f>G36/$C$5*100</f>
        <v>1.6731</v>
      </c>
      <c r="J36" s="12"/>
      <c r="L36" s="1">
        <v>295000</v>
      </c>
    </row>
    <row r="37" spans="1:21" ht="17.25" customHeight="1">
      <c r="C37" s="12"/>
      <c r="D37" s="12"/>
      <c r="E37" s="12"/>
      <c r="J37" s="12"/>
      <c r="L37" s="104">
        <f>SUM(L35:L36)</f>
        <v>48110531.192908555</v>
      </c>
      <c r="S37" s="104"/>
    </row>
    <row r="38" spans="1:21" ht="17.45" customHeight="1">
      <c r="J38" s="18"/>
    </row>
  </sheetData>
  <mergeCells count="1">
    <mergeCell ref="A7:B7"/>
  </mergeCells>
  <pageMargins left="0.7" right="0.7" top="0.75" bottom="0.75" header="0.3" footer="0.3"/>
  <pageSetup paperSize="9" scale="7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E12" sqref="E12"/>
    </sheetView>
  </sheetViews>
  <sheetFormatPr defaultRowHeight="15"/>
  <cols>
    <col min="1" max="1" width="21" customWidth="1"/>
    <col min="2" max="2" width="15.7109375" bestFit="1" customWidth="1"/>
    <col min="3" max="3" width="18.28515625" bestFit="1" customWidth="1"/>
    <col min="4" max="4" width="15.7109375" bestFit="1" customWidth="1"/>
    <col min="5" max="5" width="16.140625" bestFit="1" customWidth="1"/>
    <col min="6" max="6" width="11" bestFit="1" customWidth="1"/>
  </cols>
  <sheetData>
    <row r="1" spans="1:10">
      <c r="A1" s="2" t="s">
        <v>64</v>
      </c>
    </row>
    <row r="2" spans="1:10">
      <c r="A2" t="s">
        <v>65</v>
      </c>
    </row>
    <row r="4" spans="1:10">
      <c r="B4" s="49"/>
      <c r="F4" t="s">
        <v>68</v>
      </c>
    </row>
    <row r="5" spans="1:10">
      <c r="A5" t="s">
        <v>66</v>
      </c>
      <c r="B5" s="2">
        <v>75</v>
      </c>
      <c r="C5" s="2">
        <v>20</v>
      </c>
      <c r="D5" s="2">
        <v>0</v>
      </c>
      <c r="E5" s="2">
        <v>5</v>
      </c>
      <c r="F5">
        <f>SUM(B5:E5)</f>
        <v>100</v>
      </c>
      <c r="G5" t="s">
        <v>67</v>
      </c>
    </row>
    <row r="6" spans="1:10">
      <c r="B6" s="2"/>
      <c r="C6" s="2"/>
      <c r="D6" s="2"/>
      <c r="E6" s="2"/>
    </row>
    <row r="7" spans="1:10">
      <c r="B7" s="47" t="s">
        <v>35</v>
      </c>
      <c r="C7" s="47" t="s">
        <v>36</v>
      </c>
      <c r="D7" s="47" t="s">
        <v>37</v>
      </c>
      <c r="E7" s="47" t="s">
        <v>38</v>
      </c>
      <c r="F7" s="47"/>
      <c r="I7" s="47"/>
      <c r="J7" s="47"/>
    </row>
    <row r="8" spans="1:10">
      <c r="A8" s="2" t="s">
        <v>1</v>
      </c>
      <c r="B8" s="109">
        <f>$B$5*'ny m2 rådata'!$B$21</f>
        <v>63562.5</v>
      </c>
      <c r="C8" s="109">
        <f>$C$5*'ny m2 rådata'!$E$21</f>
        <v>280</v>
      </c>
      <c r="D8" s="109">
        <f>$D$5*'ny m2 rådata'!$H$21</f>
        <v>0</v>
      </c>
      <c r="E8" s="109">
        <f>$E$5*'ny m2 rådata'!$K$21</f>
        <v>3145</v>
      </c>
      <c r="F8" s="109">
        <f>SUM(B8:E8)</f>
        <v>66987.5</v>
      </c>
    </row>
    <row r="9" spans="1:10">
      <c r="A9" s="2" t="s">
        <v>2</v>
      </c>
      <c r="B9" s="109">
        <f>$B$5*'ny m2 rådata'!$B$25</f>
        <v>65625</v>
      </c>
      <c r="C9" s="109">
        <f>$C$5*'ny m2 rådata'!$E$25</f>
        <v>320</v>
      </c>
      <c r="D9" s="109">
        <f>$D$5*'ny m2 rådata'!$H$25</f>
        <v>0</v>
      </c>
      <c r="E9" s="109">
        <f>$E$5*'ny m2 rådata'!$K$25</f>
        <v>8530</v>
      </c>
      <c r="F9" s="109">
        <f t="shared" ref="F9:F17" si="0">SUM(B9:E9)</f>
        <v>74475</v>
      </c>
    </row>
    <row r="10" spans="1:10">
      <c r="A10" s="2" t="s">
        <v>3</v>
      </c>
      <c r="B10" s="109">
        <f>$B$5*'ny m2 rådata'!$B$29</f>
        <v>75000</v>
      </c>
      <c r="C10" s="109">
        <f>$C$5*'ny m2 rådata'!$E$29</f>
        <v>2540</v>
      </c>
      <c r="D10" s="109">
        <f>$D$5*'ny m2 rådata'!$H$29</f>
        <v>0</v>
      </c>
      <c r="E10" s="109">
        <f>$E$5*'ny m2 rådata'!$K$29</f>
        <v>9310</v>
      </c>
      <c r="F10" s="109">
        <f t="shared" si="0"/>
        <v>86850</v>
      </c>
    </row>
    <row r="11" spans="1:10">
      <c r="A11" s="2" t="s">
        <v>4</v>
      </c>
      <c r="B11" s="109">
        <f>$B$5*'ny m2 rådata'!$B$33</f>
        <v>59737.5</v>
      </c>
      <c r="C11" s="109">
        <f>$C$5*'ny m2 rådata'!$E$33</f>
        <v>350</v>
      </c>
      <c r="D11" s="109">
        <f>$D$5*'ny m2 rådata'!$H$33</f>
        <v>0</v>
      </c>
      <c r="E11" s="109">
        <f>$E$5*'ny m2 rådata'!$K$33</f>
        <v>9045</v>
      </c>
      <c r="F11" s="109">
        <f t="shared" si="0"/>
        <v>69132.5</v>
      </c>
    </row>
    <row r="12" spans="1:10">
      <c r="A12" s="2" t="s">
        <v>5</v>
      </c>
      <c r="B12" s="109">
        <f>$B$5*'ny m2 rådata'!$B$37</f>
        <v>167625</v>
      </c>
      <c r="C12" s="109">
        <f>$C$5*'ny m2 rådata'!$E$37</f>
        <v>13340</v>
      </c>
      <c r="D12" s="109">
        <f>$D$5*'ny m2 rådata'!$H$37</f>
        <v>0</v>
      </c>
      <c r="E12" s="109">
        <f>$E$5*'ny m2 rådata'!$K$37</f>
        <v>1525</v>
      </c>
      <c r="F12" s="109">
        <f t="shared" si="0"/>
        <v>182490</v>
      </c>
    </row>
    <row r="13" spans="1:10">
      <c r="A13" s="2" t="s">
        <v>6</v>
      </c>
      <c r="B13" s="109">
        <f>$B$5*'ny m2 rådata'!$B$41</f>
        <v>64237.5</v>
      </c>
      <c r="C13" s="109">
        <f>$C$5*'ny m2 rådata'!$E$41</f>
        <v>630</v>
      </c>
      <c r="D13" s="109">
        <f>$D$5*'ny m2 rådata'!$H$41</f>
        <v>0</v>
      </c>
      <c r="E13" s="109">
        <f>$E$5*'ny m2 rådata'!$K$41</f>
        <v>2325</v>
      </c>
      <c r="F13" s="109">
        <f t="shared" si="0"/>
        <v>67192.5</v>
      </c>
    </row>
    <row r="14" spans="1:10">
      <c r="A14" s="2" t="s">
        <v>7</v>
      </c>
      <c r="B14" s="109">
        <f>$B$5*'ny m2 rådata'!$B$45</f>
        <v>66750</v>
      </c>
      <c r="C14" s="109">
        <f>$C$5*'ny m2 rådata'!$E$45</f>
        <v>180</v>
      </c>
      <c r="D14" s="109">
        <f>$D$5*'ny m2 rådata'!$H$45</f>
        <v>0</v>
      </c>
      <c r="E14" s="109">
        <f>$E$5*'ny m2 rådata'!$K$45</f>
        <v>10265</v>
      </c>
      <c r="F14" s="109">
        <f t="shared" si="0"/>
        <v>77195</v>
      </c>
    </row>
    <row r="15" spans="1:10">
      <c r="A15" s="2" t="s">
        <v>15</v>
      </c>
      <c r="B15" s="109">
        <f>$B$5*'ny m2 rådata'!$B$49</f>
        <v>48562.5</v>
      </c>
      <c r="C15" s="109">
        <f>$C$5*'ny m2 rådata'!$E$49</f>
        <v>160</v>
      </c>
      <c r="D15" s="109">
        <f>$D$5*'ny m2 rådata'!$H$49</f>
        <v>0</v>
      </c>
      <c r="E15" s="109">
        <f>$E$5*'ny m2 rådata'!$K$49</f>
        <v>2630</v>
      </c>
      <c r="F15" s="109">
        <f t="shared" si="0"/>
        <v>51352.5</v>
      </c>
    </row>
    <row r="16" spans="1:10">
      <c r="A16" s="13" t="s">
        <v>16</v>
      </c>
      <c r="B16" s="109">
        <f>$B$5*'ny m2 rådata'!$B$53</f>
        <v>62887.5</v>
      </c>
      <c r="C16" s="109">
        <f>$C$5*'ny m2 rådata'!$E$53</f>
        <v>3870</v>
      </c>
      <c r="D16" s="109">
        <f>$D$5*'ny m2 rådata'!$H$53</f>
        <v>0</v>
      </c>
      <c r="E16" s="109">
        <f>$E$5*'ny m2 rådata'!$K$53</f>
        <v>4575</v>
      </c>
      <c r="F16" s="109">
        <f t="shared" si="0"/>
        <v>71332.5</v>
      </c>
    </row>
    <row r="17" spans="1:9" ht="17.25">
      <c r="A17" s="119" t="s">
        <v>8</v>
      </c>
      <c r="B17" s="109">
        <f>$B$5*'ny m2 rådata'!$B$57</f>
        <v>39637.5</v>
      </c>
      <c r="C17" s="109">
        <f>$C$5*'ny m2 rådata'!$E$57</f>
        <v>350</v>
      </c>
      <c r="D17" s="109">
        <f>$D$5*'ny m2 rådata'!$H$57</f>
        <v>0</v>
      </c>
      <c r="E17" s="109">
        <f>$E$5*'ny m2 rådata'!$K$57</f>
        <v>4815</v>
      </c>
      <c r="F17" s="118">
        <f t="shared" si="0"/>
        <v>44802.5</v>
      </c>
    </row>
    <row r="18" spans="1:9" s="2" customFormat="1">
      <c r="A18" s="2" t="s">
        <v>69</v>
      </c>
      <c r="B18" s="152"/>
      <c r="C18" s="152"/>
      <c r="D18" s="152"/>
      <c r="E18" s="152"/>
      <c r="F18" s="152">
        <f>SUM(F8:F17)</f>
        <v>791810</v>
      </c>
    </row>
    <row r="20" spans="1:9">
      <c r="A20" s="49"/>
      <c r="B20" s="49"/>
      <c r="C20" s="49"/>
      <c r="D20" s="49"/>
      <c r="E20" s="49"/>
      <c r="F20" s="49"/>
      <c r="G20" s="49"/>
      <c r="H20" s="49"/>
      <c r="I20" s="49"/>
    </row>
    <row r="21" spans="1:9">
      <c r="A21" s="49"/>
      <c r="B21" s="49"/>
      <c r="C21" s="49"/>
      <c r="D21" s="49"/>
      <c r="E21" s="49"/>
      <c r="F21" s="49"/>
      <c r="G21" s="49"/>
      <c r="H21" s="49"/>
      <c r="I21" s="49"/>
    </row>
    <row r="22" spans="1:9">
      <c r="B22" s="2"/>
      <c r="C22" s="2"/>
      <c r="D22" s="2"/>
      <c r="E22" s="2"/>
      <c r="G22" s="49"/>
      <c r="H22" s="49"/>
      <c r="I22" s="49"/>
    </row>
    <row r="23" spans="1:9">
      <c r="B23" s="2"/>
      <c r="C23" s="2"/>
      <c r="D23" s="2"/>
      <c r="E23" s="2"/>
      <c r="G23" s="49"/>
      <c r="H23" s="49"/>
      <c r="I23" s="49"/>
    </row>
    <row r="24" spans="1:9">
      <c r="B24" s="47"/>
      <c r="C24" s="47"/>
      <c r="D24" s="47"/>
      <c r="E24" s="47"/>
      <c r="F24" s="47"/>
      <c r="G24" s="49"/>
      <c r="H24" s="49"/>
      <c r="I24" s="49"/>
    </row>
    <row r="25" spans="1:9">
      <c r="A25" s="2"/>
      <c r="B25" s="109"/>
      <c r="C25" s="109"/>
      <c r="D25" s="109"/>
      <c r="E25" s="109"/>
      <c r="F25" s="109"/>
      <c r="G25" s="49"/>
      <c r="H25" s="49"/>
      <c r="I25" s="49"/>
    </row>
    <row r="26" spans="1:9">
      <c r="A26" s="2"/>
      <c r="B26" s="109"/>
      <c r="C26" s="109"/>
      <c r="D26" s="109"/>
      <c r="E26" s="109"/>
      <c r="F26" s="109"/>
      <c r="G26" s="49"/>
      <c r="H26" s="49"/>
      <c r="I26" s="49"/>
    </row>
    <row r="27" spans="1:9">
      <c r="A27" s="2"/>
      <c r="B27" s="109"/>
      <c r="C27" s="109"/>
      <c r="D27" s="109"/>
      <c r="E27" s="109"/>
      <c r="F27" s="109"/>
      <c r="G27" s="49"/>
      <c r="H27" s="49"/>
      <c r="I27" s="49"/>
    </row>
    <row r="28" spans="1:9">
      <c r="A28" s="2"/>
      <c r="B28" s="109"/>
      <c r="C28" s="109"/>
      <c r="D28" s="109"/>
      <c r="E28" s="109"/>
      <c r="F28" s="109"/>
      <c r="G28" s="49"/>
      <c r="H28" s="49"/>
      <c r="I28" s="49"/>
    </row>
    <row r="29" spans="1:9">
      <c r="A29" s="2"/>
      <c r="B29" s="109"/>
      <c r="C29" s="109"/>
      <c r="D29" s="109"/>
      <c r="E29" s="109"/>
      <c r="F29" s="109"/>
      <c r="G29" s="49"/>
      <c r="H29" s="49"/>
      <c r="I29" s="49"/>
    </row>
    <row r="30" spans="1:9">
      <c r="A30" s="2"/>
      <c r="B30" s="109"/>
      <c r="C30" s="109"/>
      <c r="D30" s="109"/>
      <c r="E30" s="109"/>
      <c r="F30" s="109"/>
      <c r="G30" s="49"/>
      <c r="H30" s="49"/>
      <c r="I30" s="49"/>
    </row>
    <row r="31" spans="1:9">
      <c r="A31" s="2"/>
      <c r="B31" s="109"/>
      <c r="C31" s="109"/>
      <c r="D31" s="109"/>
      <c r="E31" s="109"/>
      <c r="F31" s="109"/>
      <c r="G31" s="49"/>
      <c r="H31" s="49"/>
      <c r="I31" s="49"/>
    </row>
    <row r="32" spans="1:9">
      <c r="A32" s="2"/>
      <c r="B32" s="109"/>
      <c r="C32" s="109"/>
      <c r="D32" s="109"/>
      <c r="E32" s="109"/>
      <c r="F32" s="109"/>
      <c r="G32" s="49"/>
      <c r="H32" s="49"/>
      <c r="I32" s="49"/>
    </row>
    <row r="33" spans="1:9">
      <c r="A33" s="13"/>
      <c r="B33" s="109"/>
      <c r="C33" s="109"/>
      <c r="D33" s="109"/>
      <c r="E33" s="109"/>
      <c r="F33" s="109"/>
      <c r="G33" s="49"/>
      <c r="H33" s="49"/>
      <c r="I33" s="49"/>
    </row>
    <row r="34" spans="1:9" ht="17.25">
      <c r="A34" s="47"/>
      <c r="B34" s="109"/>
      <c r="C34" s="109"/>
      <c r="D34" s="109"/>
      <c r="E34" s="109"/>
      <c r="F34" s="118"/>
      <c r="G34" s="49"/>
      <c r="H34" s="49"/>
      <c r="I34" s="49"/>
    </row>
    <row r="35" spans="1:9">
      <c r="B35" s="109"/>
      <c r="C35" s="109"/>
      <c r="D35" s="109"/>
      <c r="E35" s="109"/>
      <c r="F35" s="109"/>
      <c r="G35" s="49"/>
      <c r="H35" s="49"/>
      <c r="I35" s="49"/>
    </row>
    <row r="36" spans="1:9">
      <c r="A36" s="49"/>
      <c r="B36" s="49"/>
      <c r="C36" s="49"/>
      <c r="D36" s="49"/>
      <c r="E36" s="49"/>
      <c r="F36" s="49"/>
      <c r="G36" s="49"/>
      <c r="H36" s="49"/>
      <c r="I36" s="49"/>
    </row>
    <row r="37" spans="1:9">
      <c r="A37" s="49"/>
      <c r="B37" s="13"/>
      <c r="C37" s="13"/>
      <c r="D37" s="13"/>
      <c r="E37" s="13"/>
      <c r="F37" s="49"/>
      <c r="G37" s="49"/>
      <c r="H37" s="49"/>
      <c r="I37" s="49"/>
    </row>
    <row r="38" spans="1:9">
      <c r="A38" s="49"/>
      <c r="B38" s="13"/>
      <c r="C38" s="13"/>
      <c r="D38" s="13"/>
      <c r="E38" s="13"/>
      <c r="F38" s="49"/>
      <c r="G38" s="49"/>
      <c r="H38" s="49"/>
      <c r="I38" s="49"/>
    </row>
    <row r="39" spans="1:9">
      <c r="A39" s="49"/>
      <c r="B39" s="57"/>
      <c r="C39" s="57"/>
      <c r="D39" s="57"/>
      <c r="E39" s="57"/>
      <c r="F39" s="57"/>
      <c r="G39" s="49"/>
      <c r="H39" s="49"/>
      <c r="I39" s="49"/>
    </row>
    <row r="40" spans="1:9">
      <c r="A40" s="13"/>
      <c r="B40" s="49"/>
      <c r="C40" s="49"/>
      <c r="D40" s="49"/>
      <c r="E40" s="49"/>
      <c r="F40" s="49"/>
      <c r="G40" s="49"/>
      <c r="H40" s="49"/>
      <c r="I40" s="49"/>
    </row>
    <row r="41" spans="1:9">
      <c r="A41" s="13"/>
      <c r="B41" s="49"/>
      <c r="C41" s="49"/>
      <c r="D41" s="49"/>
      <c r="E41" s="49"/>
      <c r="F41" s="49"/>
      <c r="G41" s="49"/>
      <c r="H41" s="49"/>
      <c r="I41" s="49"/>
    </row>
    <row r="42" spans="1:9">
      <c r="A42" s="13"/>
      <c r="B42" s="49"/>
      <c r="C42" s="49"/>
      <c r="D42" s="49"/>
      <c r="E42" s="49"/>
      <c r="F42" s="49"/>
      <c r="G42" s="49"/>
      <c r="H42" s="49"/>
      <c r="I42" s="49"/>
    </row>
    <row r="43" spans="1:9">
      <c r="A43" s="13"/>
      <c r="B43" s="49"/>
      <c r="C43" s="49"/>
      <c r="D43" s="49"/>
      <c r="E43" s="49"/>
      <c r="F43" s="49"/>
      <c r="G43" s="49"/>
      <c r="H43" s="49"/>
      <c r="I43" s="49"/>
    </row>
    <row r="44" spans="1:9">
      <c r="A44" s="13"/>
      <c r="B44" s="49"/>
      <c r="C44" s="49"/>
      <c r="D44" s="49"/>
      <c r="E44" s="49"/>
      <c r="F44" s="49"/>
      <c r="G44" s="49"/>
      <c r="H44" s="49"/>
      <c r="I44" s="49"/>
    </row>
    <row r="45" spans="1:9">
      <c r="A45" s="13"/>
      <c r="B45" s="49"/>
      <c r="C45" s="49"/>
      <c r="D45" s="49"/>
      <c r="E45" s="49"/>
      <c r="F45" s="49"/>
      <c r="G45" s="49"/>
      <c r="H45" s="49"/>
      <c r="I45" s="49"/>
    </row>
    <row r="46" spans="1:9">
      <c r="A46" s="13"/>
      <c r="B46" s="49"/>
      <c r="C46" s="49"/>
      <c r="D46" s="49"/>
      <c r="E46" s="49"/>
      <c r="F46" s="49"/>
      <c r="G46" s="49"/>
      <c r="H46" s="49"/>
      <c r="I46" s="49"/>
    </row>
    <row r="47" spans="1:9">
      <c r="A47" s="13"/>
      <c r="B47" s="49"/>
      <c r="C47" s="49"/>
      <c r="D47" s="49"/>
      <c r="E47" s="49"/>
      <c r="F47" s="49"/>
      <c r="G47" s="49"/>
      <c r="H47" s="49"/>
      <c r="I47" s="49"/>
    </row>
    <row r="48" spans="1:9">
      <c r="A48" s="13"/>
      <c r="B48" s="49"/>
      <c r="C48" s="49"/>
      <c r="D48" s="49"/>
      <c r="E48" s="49"/>
      <c r="F48" s="49"/>
      <c r="G48" s="49"/>
      <c r="H48" s="49"/>
      <c r="I48" s="49"/>
    </row>
    <row r="49" spans="1:9">
      <c r="A49" s="49"/>
      <c r="B49" s="49"/>
      <c r="C49" s="49"/>
      <c r="D49" s="49"/>
      <c r="E49" s="49"/>
      <c r="F49" s="49"/>
      <c r="G49" s="49"/>
      <c r="H49" s="49"/>
      <c r="I49" s="49"/>
    </row>
    <row r="50" spans="1:9">
      <c r="A50" s="49"/>
      <c r="B50" s="49"/>
      <c r="C50" s="49"/>
      <c r="D50" s="49"/>
      <c r="E50" s="49"/>
      <c r="F50" s="49"/>
      <c r="G50" s="49"/>
      <c r="H50" s="49"/>
      <c r="I50" s="49"/>
    </row>
    <row r="51" spans="1:9">
      <c r="A51" s="49"/>
      <c r="B51" s="49"/>
      <c r="C51" s="49"/>
      <c r="D51" s="49"/>
      <c r="E51" s="49"/>
      <c r="F51" s="49"/>
      <c r="G51" s="49"/>
      <c r="H51" s="49"/>
      <c r="I51" s="49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9"/>
  <sheetViews>
    <sheetView topLeftCell="A13" workbookViewId="0">
      <selection activeCell="E37" sqref="E37"/>
    </sheetView>
  </sheetViews>
  <sheetFormatPr defaultRowHeight="15"/>
  <cols>
    <col min="1" max="1" width="16.5703125" customWidth="1"/>
    <col min="4" max="4" width="13.28515625" customWidth="1"/>
    <col min="7" max="7" width="17.28515625" bestFit="1" customWidth="1"/>
    <col min="10" max="10" width="15.28515625" customWidth="1"/>
  </cols>
  <sheetData>
    <row r="2" spans="1:12" ht="15.75">
      <c r="A2" s="20" t="s">
        <v>98</v>
      </c>
      <c r="B2" s="20"/>
      <c r="J2" s="21" t="s">
        <v>32</v>
      </c>
      <c r="K2" s="21"/>
    </row>
    <row r="3" spans="1:12">
      <c r="A3" s="22" t="s">
        <v>33</v>
      </c>
      <c r="B3" s="22"/>
    </row>
    <row r="5" spans="1:12" ht="32.25">
      <c r="A5" s="162" t="s">
        <v>34</v>
      </c>
      <c r="B5" s="162"/>
      <c r="C5" s="162"/>
      <c r="D5" s="162"/>
      <c r="E5" s="162"/>
      <c r="F5" s="162"/>
      <c r="G5" s="162"/>
      <c r="H5" s="162"/>
      <c r="I5" s="162"/>
      <c r="J5" s="162"/>
      <c r="K5" s="23"/>
    </row>
    <row r="7" spans="1:12">
      <c r="A7" s="24" t="s">
        <v>35</v>
      </c>
      <c r="B7" s="25"/>
      <c r="C7" s="26"/>
      <c r="D7" s="24" t="s">
        <v>36</v>
      </c>
      <c r="E7" s="25"/>
      <c r="F7" s="26"/>
      <c r="G7" s="24" t="s">
        <v>37</v>
      </c>
      <c r="H7" s="25"/>
      <c r="I7" s="26"/>
      <c r="J7" s="24" t="s">
        <v>38</v>
      </c>
      <c r="K7" s="25"/>
      <c r="L7" s="26"/>
    </row>
    <row r="8" spans="1:12" ht="109.5" customHeight="1">
      <c r="A8" s="163" t="s">
        <v>39</v>
      </c>
      <c r="B8" s="164"/>
      <c r="C8" s="165"/>
      <c r="D8" s="163" t="s">
        <v>82</v>
      </c>
      <c r="E8" s="164"/>
      <c r="F8" s="165"/>
      <c r="G8" s="163" t="s">
        <v>40</v>
      </c>
      <c r="H8" s="164"/>
      <c r="I8" s="165"/>
      <c r="J8" s="163" t="s">
        <v>41</v>
      </c>
      <c r="K8" s="164"/>
      <c r="L8" s="165"/>
    </row>
    <row r="9" spans="1:12" ht="15.75">
      <c r="A9" s="27" t="s">
        <v>42</v>
      </c>
      <c r="B9" s="28"/>
      <c r="C9" s="29"/>
      <c r="D9" s="27" t="s">
        <v>42</v>
      </c>
      <c r="E9" s="28"/>
      <c r="F9" s="29"/>
      <c r="G9" s="27" t="s">
        <v>42</v>
      </c>
      <c r="H9" s="28"/>
      <c r="I9" s="29"/>
      <c r="J9" s="27" t="s">
        <v>42</v>
      </c>
      <c r="K9" s="30"/>
      <c r="L9" s="31"/>
    </row>
    <row r="10" spans="1:12">
      <c r="A10" s="32" t="s">
        <v>43</v>
      </c>
      <c r="B10" s="30"/>
      <c r="C10" s="33"/>
      <c r="D10" s="32" t="s">
        <v>44</v>
      </c>
      <c r="E10" s="30"/>
      <c r="F10" s="33"/>
      <c r="G10" s="32" t="s">
        <v>45</v>
      </c>
      <c r="H10" s="30"/>
      <c r="I10" s="33"/>
      <c r="J10" s="32" t="s">
        <v>46</v>
      </c>
      <c r="K10" s="30"/>
      <c r="L10" s="33"/>
    </row>
    <row r="11" spans="1:12">
      <c r="A11" s="32" t="s">
        <v>47</v>
      </c>
      <c r="B11" s="30"/>
      <c r="C11" s="33"/>
      <c r="D11" s="32" t="s">
        <v>48</v>
      </c>
      <c r="E11" s="30"/>
      <c r="F11" s="33"/>
      <c r="G11" s="32" t="s">
        <v>49</v>
      </c>
      <c r="H11" s="30"/>
      <c r="I11" s="33"/>
      <c r="J11" s="32"/>
      <c r="K11" s="30"/>
      <c r="L11" s="33"/>
    </row>
    <row r="12" spans="1:12">
      <c r="A12" s="32" t="s">
        <v>50</v>
      </c>
      <c r="B12" s="30"/>
      <c r="C12" s="33"/>
      <c r="D12" s="32" t="s">
        <v>51</v>
      </c>
      <c r="E12" s="30"/>
      <c r="F12" s="33"/>
      <c r="G12" s="32" t="s">
        <v>52</v>
      </c>
      <c r="H12" s="30"/>
      <c r="I12" s="33"/>
      <c r="J12" s="32"/>
      <c r="K12" s="30"/>
      <c r="L12" s="33"/>
    </row>
    <row r="13" spans="1:12">
      <c r="A13" s="32" t="s">
        <v>53</v>
      </c>
      <c r="B13" s="30"/>
      <c r="C13" s="33"/>
      <c r="D13" s="32" t="s">
        <v>54</v>
      </c>
      <c r="E13" s="30"/>
      <c r="F13" s="33"/>
      <c r="G13" s="32" t="s">
        <v>55</v>
      </c>
      <c r="H13" s="30"/>
      <c r="I13" s="33"/>
      <c r="J13" s="32"/>
      <c r="K13" s="30"/>
      <c r="L13" s="33"/>
    </row>
    <row r="14" spans="1:12">
      <c r="A14" s="32" t="s">
        <v>56</v>
      </c>
      <c r="B14" s="30"/>
      <c r="C14" s="33"/>
      <c r="D14" s="168" t="s">
        <v>57</v>
      </c>
      <c r="E14" s="30"/>
      <c r="F14" s="33"/>
      <c r="G14" s="32" t="s">
        <v>59</v>
      </c>
      <c r="H14" s="30"/>
      <c r="I14" s="33"/>
      <c r="J14" s="32"/>
      <c r="K14" s="30"/>
      <c r="L14" s="33"/>
    </row>
    <row r="15" spans="1:12">
      <c r="A15" s="32" t="s">
        <v>58</v>
      </c>
      <c r="B15" s="30"/>
      <c r="C15" s="33"/>
      <c r="D15" s="32"/>
      <c r="E15" s="30"/>
      <c r="F15" s="33"/>
      <c r="G15" s="32" t="s">
        <v>61</v>
      </c>
      <c r="H15" s="30"/>
      <c r="I15" s="33"/>
      <c r="J15" s="32"/>
      <c r="K15" s="30"/>
      <c r="L15" s="33"/>
    </row>
    <row r="16" spans="1:12">
      <c r="A16" s="32" t="s">
        <v>60</v>
      </c>
      <c r="B16" s="30"/>
      <c r="C16" s="33"/>
      <c r="D16" s="32"/>
      <c r="E16" s="30"/>
      <c r="F16" s="33"/>
      <c r="H16" s="30"/>
      <c r="I16" s="33"/>
      <c r="J16" s="32"/>
      <c r="K16" s="30"/>
      <c r="L16" s="33"/>
    </row>
    <row r="17" spans="1:12">
      <c r="A17" s="34"/>
      <c r="B17" s="35"/>
      <c r="C17" s="36"/>
      <c r="D17" s="37"/>
      <c r="E17" s="35"/>
      <c r="F17" s="36"/>
      <c r="G17" s="37"/>
      <c r="H17" s="35"/>
      <c r="I17" s="36"/>
      <c r="J17" s="37"/>
      <c r="K17" s="35"/>
      <c r="L17" s="36"/>
    </row>
    <row r="19" spans="1:12">
      <c r="A19" s="38" t="s">
        <v>1</v>
      </c>
      <c r="B19" s="39"/>
      <c r="C19" s="40" t="s">
        <v>62</v>
      </c>
      <c r="D19" s="39"/>
      <c r="E19" s="39"/>
      <c r="F19" s="39"/>
      <c r="G19" s="39"/>
      <c r="H19" s="39"/>
      <c r="I19" s="39"/>
      <c r="J19" s="39"/>
      <c r="K19" s="39"/>
      <c r="L19" s="41"/>
    </row>
    <row r="20" spans="1:12">
      <c r="A20" s="42" t="s">
        <v>35</v>
      </c>
      <c r="B20" s="43"/>
      <c r="C20" s="44"/>
      <c r="D20" s="42" t="s">
        <v>36</v>
      </c>
      <c r="E20" s="43"/>
      <c r="F20" s="44"/>
      <c r="G20" s="42" t="s">
        <v>37</v>
      </c>
      <c r="H20" s="43"/>
      <c r="I20" s="44"/>
      <c r="J20" s="42" t="s">
        <v>38</v>
      </c>
      <c r="K20" s="43"/>
      <c r="L20" s="44"/>
    </row>
    <row r="21" spans="1:12">
      <c r="A21" s="34"/>
      <c r="B21" s="45">
        <v>847.5</v>
      </c>
      <c r="C21" s="50" t="s">
        <v>14</v>
      </c>
      <c r="D21" s="34"/>
      <c r="E21" s="45">
        <v>14</v>
      </c>
      <c r="F21" s="50" t="s">
        <v>14</v>
      </c>
      <c r="G21" s="34"/>
      <c r="H21" s="45">
        <v>46.5</v>
      </c>
      <c r="I21" s="50" t="s">
        <v>14</v>
      </c>
      <c r="J21" s="34"/>
      <c r="K21" s="45">
        <v>629</v>
      </c>
      <c r="L21" s="46" t="s">
        <v>14</v>
      </c>
    </row>
    <row r="23" spans="1:12">
      <c r="A23" s="38" t="s">
        <v>2</v>
      </c>
      <c r="B23" s="39"/>
      <c r="C23" s="40" t="s">
        <v>62</v>
      </c>
      <c r="D23" s="39"/>
      <c r="E23" s="39"/>
      <c r="F23" s="39"/>
      <c r="G23" s="39"/>
      <c r="H23" s="39"/>
      <c r="I23" s="39"/>
      <c r="J23" s="39"/>
      <c r="K23" s="39"/>
      <c r="L23" s="41"/>
    </row>
    <row r="24" spans="1:12">
      <c r="A24" s="42" t="s">
        <v>35</v>
      </c>
      <c r="B24" s="43"/>
      <c r="C24" s="44"/>
      <c r="D24" s="42" t="s">
        <v>36</v>
      </c>
      <c r="E24" s="43"/>
      <c r="F24" s="44"/>
      <c r="G24" s="42" t="s">
        <v>37</v>
      </c>
      <c r="H24" s="43"/>
      <c r="I24" s="44"/>
      <c r="J24" s="42" t="s">
        <v>38</v>
      </c>
      <c r="K24" s="43"/>
      <c r="L24" s="44"/>
    </row>
    <row r="25" spans="1:12">
      <c r="A25" s="34"/>
      <c r="B25" s="45">
        <v>875</v>
      </c>
      <c r="C25" s="50" t="s">
        <v>14</v>
      </c>
      <c r="D25" s="34"/>
      <c r="E25" s="45">
        <v>16</v>
      </c>
      <c r="F25" s="50" t="s">
        <v>14</v>
      </c>
      <c r="G25" s="34"/>
      <c r="H25" s="45">
        <v>101.5</v>
      </c>
      <c r="I25" s="50" t="s">
        <v>14</v>
      </c>
      <c r="J25" s="34"/>
      <c r="K25" s="45">
        <v>1706</v>
      </c>
      <c r="L25" s="46" t="s">
        <v>14</v>
      </c>
    </row>
    <row r="27" spans="1:12">
      <c r="A27" s="38" t="s">
        <v>3</v>
      </c>
      <c r="B27" s="39"/>
      <c r="C27" s="40" t="s">
        <v>63</v>
      </c>
      <c r="D27" s="39"/>
      <c r="E27" s="39"/>
      <c r="F27" s="39"/>
      <c r="G27" s="39"/>
      <c r="H27" s="39"/>
      <c r="I27" s="39"/>
      <c r="J27" s="39"/>
      <c r="K27" s="39"/>
      <c r="L27" s="41"/>
    </row>
    <row r="28" spans="1:12">
      <c r="A28" s="42" t="s">
        <v>35</v>
      </c>
      <c r="B28" s="43"/>
      <c r="C28" s="44"/>
      <c r="D28" s="42" t="s">
        <v>36</v>
      </c>
      <c r="E28" s="43"/>
      <c r="F28" s="44"/>
      <c r="G28" s="42" t="s">
        <v>37</v>
      </c>
      <c r="H28" s="43"/>
      <c r="I28" s="44"/>
      <c r="J28" s="42" t="s">
        <v>38</v>
      </c>
      <c r="K28" s="43"/>
      <c r="L28" s="44"/>
    </row>
    <row r="29" spans="1:12">
      <c r="A29" s="34"/>
      <c r="B29" s="45">
        <v>1000</v>
      </c>
      <c r="C29" s="50" t="s">
        <v>14</v>
      </c>
      <c r="D29" s="34"/>
      <c r="E29" s="45">
        <f>63+64</f>
        <v>127</v>
      </c>
      <c r="F29" s="50" t="s">
        <v>14</v>
      </c>
      <c r="G29" s="34"/>
      <c r="H29" s="45">
        <f>122-64</f>
        <v>58</v>
      </c>
      <c r="I29" s="50" t="s">
        <v>14</v>
      </c>
      <c r="J29" s="34"/>
      <c r="K29" s="45">
        <v>1862</v>
      </c>
      <c r="L29" s="46" t="s">
        <v>14</v>
      </c>
    </row>
    <row r="31" spans="1:12">
      <c r="A31" s="38" t="s">
        <v>4</v>
      </c>
      <c r="B31" s="39"/>
      <c r="C31" s="40" t="s">
        <v>62</v>
      </c>
      <c r="D31" s="39"/>
      <c r="E31" s="39"/>
      <c r="F31" s="39"/>
      <c r="G31" s="39"/>
      <c r="H31" s="39"/>
      <c r="I31" s="39"/>
      <c r="J31" s="39"/>
      <c r="K31" s="39"/>
      <c r="L31" s="41"/>
    </row>
    <row r="32" spans="1:12">
      <c r="A32" s="42" t="s">
        <v>35</v>
      </c>
      <c r="B32" s="43"/>
      <c r="C32" s="44"/>
      <c r="D32" s="42" t="s">
        <v>36</v>
      </c>
      <c r="E32" s="43"/>
      <c r="F32" s="44"/>
      <c r="G32" s="42" t="s">
        <v>37</v>
      </c>
      <c r="H32" s="43"/>
      <c r="I32" s="44"/>
      <c r="J32" s="42" t="s">
        <v>38</v>
      </c>
      <c r="K32" s="43"/>
      <c r="L32" s="44"/>
    </row>
    <row r="33" spans="1:12">
      <c r="A33" s="34"/>
      <c r="B33" s="45">
        <v>796.5</v>
      </c>
      <c r="C33" s="50" t="s">
        <v>14</v>
      </c>
      <c r="D33" s="34"/>
      <c r="E33" s="45">
        <v>17.5</v>
      </c>
      <c r="F33" s="50" t="s">
        <v>14</v>
      </c>
      <c r="G33" s="34"/>
      <c r="H33" s="45">
        <v>128</v>
      </c>
      <c r="I33" s="50" t="s">
        <v>14</v>
      </c>
      <c r="J33" s="34"/>
      <c r="K33" s="45">
        <v>1809</v>
      </c>
      <c r="L33" s="46" t="s">
        <v>14</v>
      </c>
    </row>
    <row r="35" spans="1:12">
      <c r="A35" s="38" t="s">
        <v>5</v>
      </c>
      <c r="B35" s="39"/>
      <c r="C35" s="40" t="s">
        <v>62</v>
      </c>
      <c r="D35" s="39"/>
      <c r="E35" s="39"/>
      <c r="F35" s="39"/>
      <c r="G35" s="39"/>
      <c r="H35" s="39"/>
      <c r="I35" s="39"/>
      <c r="J35" s="39"/>
      <c r="K35" s="39"/>
      <c r="L35" s="41"/>
    </row>
    <row r="36" spans="1:12">
      <c r="A36" s="42" t="s">
        <v>35</v>
      </c>
      <c r="B36" s="43"/>
      <c r="C36" s="44"/>
      <c r="D36" s="42" t="s">
        <v>36</v>
      </c>
      <c r="E36" s="43"/>
      <c r="F36" s="44"/>
      <c r="G36" s="42" t="s">
        <v>37</v>
      </c>
      <c r="H36" s="43"/>
      <c r="I36" s="44"/>
      <c r="J36" s="42" t="s">
        <v>38</v>
      </c>
      <c r="K36" s="43"/>
      <c r="L36" s="44"/>
    </row>
    <row r="37" spans="1:12">
      <c r="A37" s="34"/>
      <c r="B37" s="45">
        <v>2235</v>
      </c>
      <c r="C37" s="46" t="s">
        <v>14</v>
      </c>
      <c r="D37" s="34"/>
      <c r="E37" s="45">
        <f>467+200</f>
        <v>667</v>
      </c>
      <c r="F37" s="46" t="s">
        <v>14</v>
      </c>
      <c r="G37" s="34"/>
      <c r="H37" s="45">
        <f>463-200</f>
        <v>263</v>
      </c>
      <c r="I37" s="46" t="s">
        <v>14</v>
      </c>
      <c r="J37" s="34"/>
      <c r="K37" s="45">
        <v>305</v>
      </c>
      <c r="L37" s="46" t="s">
        <v>14</v>
      </c>
    </row>
    <row r="39" spans="1:12">
      <c r="A39" s="38" t="s">
        <v>6</v>
      </c>
      <c r="B39" s="39"/>
      <c r="C39" s="40" t="s">
        <v>62</v>
      </c>
      <c r="D39" s="39"/>
      <c r="E39" s="39"/>
      <c r="F39" s="39"/>
      <c r="G39" s="39"/>
      <c r="H39" s="39"/>
      <c r="I39" s="39"/>
      <c r="J39" s="39"/>
      <c r="K39" s="39"/>
      <c r="L39" s="41"/>
    </row>
    <row r="40" spans="1:12">
      <c r="A40" s="42" t="s">
        <v>35</v>
      </c>
      <c r="B40" s="43"/>
      <c r="C40" s="44"/>
      <c r="D40" s="42" t="s">
        <v>36</v>
      </c>
      <c r="E40" s="43"/>
      <c r="F40" s="44"/>
      <c r="G40" s="42" t="s">
        <v>37</v>
      </c>
      <c r="H40" s="43"/>
      <c r="I40" s="44"/>
      <c r="J40" s="42" t="s">
        <v>38</v>
      </c>
      <c r="K40" s="43"/>
      <c r="L40" s="44"/>
    </row>
    <row r="41" spans="1:12">
      <c r="A41" s="34"/>
      <c r="B41" s="45">
        <v>856.5</v>
      </c>
      <c r="C41" s="46" t="s">
        <v>14</v>
      </c>
      <c r="D41" s="34"/>
      <c r="E41" s="45">
        <v>31.5</v>
      </c>
      <c r="F41" s="46" t="s">
        <v>14</v>
      </c>
      <c r="G41" s="34"/>
      <c r="H41" s="45">
        <v>86</v>
      </c>
      <c r="I41" s="46" t="s">
        <v>14</v>
      </c>
      <c r="J41" s="34"/>
      <c r="K41" s="45">
        <v>465</v>
      </c>
      <c r="L41" s="46" t="s">
        <v>14</v>
      </c>
    </row>
    <row r="43" spans="1:12">
      <c r="A43" s="38" t="s">
        <v>7</v>
      </c>
      <c r="B43" s="39"/>
      <c r="C43" s="40" t="s">
        <v>62</v>
      </c>
      <c r="D43" s="39"/>
      <c r="E43" s="39"/>
      <c r="F43" s="39"/>
      <c r="G43" s="39"/>
      <c r="H43" s="39"/>
      <c r="I43" s="39"/>
      <c r="J43" s="39"/>
      <c r="K43" s="39"/>
      <c r="L43" s="41"/>
    </row>
    <row r="44" spans="1:12">
      <c r="A44" s="42" t="s">
        <v>35</v>
      </c>
      <c r="B44" s="43"/>
      <c r="C44" s="44"/>
      <c r="D44" s="42" t="s">
        <v>36</v>
      </c>
      <c r="E44" s="43"/>
      <c r="F44" s="44"/>
      <c r="G44" s="42" t="s">
        <v>37</v>
      </c>
      <c r="H44" s="43"/>
      <c r="I44" s="44"/>
      <c r="J44" s="42" t="s">
        <v>38</v>
      </c>
      <c r="K44" s="43"/>
      <c r="L44" s="44"/>
    </row>
    <row r="45" spans="1:12">
      <c r="A45" s="34"/>
      <c r="B45" s="45">
        <v>890</v>
      </c>
      <c r="C45" s="46" t="s">
        <v>14</v>
      </c>
      <c r="D45" s="34"/>
      <c r="E45" s="45">
        <v>9</v>
      </c>
      <c r="F45" s="46" t="s">
        <v>14</v>
      </c>
      <c r="G45" s="34"/>
      <c r="H45" s="45">
        <v>41</v>
      </c>
      <c r="I45" s="46" t="s">
        <v>14</v>
      </c>
      <c r="J45" s="34"/>
      <c r="K45" s="45">
        <v>2053</v>
      </c>
      <c r="L45" s="46" t="s">
        <v>14</v>
      </c>
    </row>
    <row r="47" spans="1:12">
      <c r="A47" s="38" t="s">
        <v>15</v>
      </c>
      <c r="B47" s="39"/>
      <c r="C47" s="40" t="s">
        <v>62</v>
      </c>
      <c r="D47" s="39"/>
      <c r="E47" s="39"/>
      <c r="F47" s="39"/>
      <c r="G47" s="39"/>
      <c r="H47" s="39"/>
      <c r="I47" s="39"/>
      <c r="J47" s="39"/>
      <c r="K47" s="39"/>
      <c r="L47" s="41"/>
    </row>
    <row r="48" spans="1:12">
      <c r="A48" s="42" t="s">
        <v>35</v>
      </c>
      <c r="B48" s="43"/>
      <c r="C48" s="44"/>
      <c r="D48" s="42" t="s">
        <v>36</v>
      </c>
      <c r="E48" s="43"/>
      <c r="F48" s="44"/>
      <c r="G48" s="42" t="s">
        <v>37</v>
      </c>
      <c r="H48" s="43"/>
      <c r="I48" s="44"/>
      <c r="J48" s="42" t="s">
        <v>38</v>
      </c>
      <c r="K48" s="43"/>
      <c r="L48" s="44"/>
    </row>
    <row r="49" spans="1:14">
      <c r="A49" s="34"/>
      <c r="B49" s="45">
        <v>647.5</v>
      </c>
      <c r="C49" s="46" t="s">
        <v>14</v>
      </c>
      <c r="D49" s="34"/>
      <c r="E49" s="45">
        <v>8</v>
      </c>
      <c r="F49" s="46" t="s">
        <v>14</v>
      </c>
      <c r="G49" s="34"/>
      <c r="H49" s="45">
        <v>129.5</v>
      </c>
      <c r="I49" s="46" t="s">
        <v>14</v>
      </c>
      <c r="J49" s="34"/>
      <c r="K49" s="45">
        <v>526</v>
      </c>
      <c r="L49" s="46" t="s">
        <v>14</v>
      </c>
    </row>
    <row r="51" spans="1:14">
      <c r="A51" s="38" t="s">
        <v>16</v>
      </c>
      <c r="B51" s="39"/>
      <c r="C51" s="40" t="s">
        <v>62</v>
      </c>
      <c r="D51" s="39"/>
      <c r="E51" s="39"/>
      <c r="F51" s="39"/>
      <c r="G51" s="39"/>
      <c r="H51" s="39"/>
      <c r="I51" s="39"/>
      <c r="J51" s="39"/>
      <c r="K51" s="39"/>
      <c r="L51" s="41"/>
    </row>
    <row r="52" spans="1:14">
      <c r="A52" s="42" t="s">
        <v>35</v>
      </c>
      <c r="B52" s="43"/>
      <c r="C52" s="44"/>
      <c r="D52" s="42" t="s">
        <v>36</v>
      </c>
      <c r="E52" s="43"/>
      <c r="F52" s="44"/>
      <c r="G52" s="42" t="s">
        <v>37</v>
      </c>
      <c r="H52" s="43"/>
      <c r="I52" s="44"/>
      <c r="J52" s="42" t="s">
        <v>38</v>
      </c>
      <c r="K52" s="43"/>
      <c r="L52" s="44"/>
    </row>
    <row r="53" spans="1:14">
      <c r="A53" s="34"/>
      <c r="B53" s="45">
        <v>838.5</v>
      </c>
      <c r="C53" s="46" t="s">
        <v>14</v>
      </c>
      <c r="D53" s="34"/>
      <c r="E53" s="45">
        <v>193.5</v>
      </c>
      <c r="F53" s="46" t="s">
        <v>14</v>
      </c>
      <c r="G53" s="34"/>
      <c r="H53" s="45">
        <v>262.5</v>
      </c>
      <c r="I53" s="46" t="s">
        <v>14</v>
      </c>
      <c r="J53" s="34"/>
      <c r="K53" s="45">
        <v>915</v>
      </c>
      <c r="L53" s="46" t="s">
        <v>14</v>
      </c>
    </row>
    <row r="55" spans="1:14">
      <c r="A55" s="38" t="s">
        <v>8</v>
      </c>
      <c r="B55" s="39"/>
      <c r="C55" s="40" t="s">
        <v>62</v>
      </c>
      <c r="D55" s="39"/>
      <c r="E55" s="39"/>
      <c r="F55" s="39"/>
      <c r="G55" s="39"/>
      <c r="H55" s="39"/>
      <c r="I55" s="39"/>
      <c r="J55" s="39"/>
      <c r="K55" s="39"/>
      <c r="L55" s="41"/>
    </row>
    <row r="56" spans="1:14">
      <c r="A56" s="42" t="s">
        <v>35</v>
      </c>
      <c r="B56" s="43"/>
      <c r="C56" s="44"/>
      <c r="D56" s="42" t="s">
        <v>36</v>
      </c>
      <c r="E56" s="43"/>
      <c r="F56" s="44"/>
      <c r="G56" s="42" t="s">
        <v>37</v>
      </c>
      <c r="H56" s="43"/>
      <c r="I56" s="44"/>
      <c r="J56" s="42" t="s">
        <v>38</v>
      </c>
      <c r="K56" s="43"/>
      <c r="L56" s="44"/>
    </row>
    <row r="57" spans="1:14">
      <c r="A57" s="34"/>
      <c r="B57" s="45">
        <v>528.5</v>
      </c>
      <c r="C57" s="46" t="s">
        <v>14</v>
      </c>
      <c r="D57" s="34"/>
      <c r="E57" s="45">
        <v>17.5</v>
      </c>
      <c r="F57" s="46" t="s">
        <v>14</v>
      </c>
      <c r="G57" s="34"/>
      <c r="H57" s="45">
        <v>12.5</v>
      </c>
      <c r="I57" s="46" t="s">
        <v>14</v>
      </c>
      <c r="J57" s="34"/>
      <c r="K57" s="45">
        <v>963</v>
      </c>
      <c r="L57" s="46" t="s">
        <v>14</v>
      </c>
    </row>
    <row r="59" spans="1:14">
      <c r="B59">
        <f>B57+B53+B49+B45+B41+B37+B33+B29+B25+B21</f>
        <v>9515</v>
      </c>
      <c r="E59">
        <f>E57+E53+E49+E45+E41+E37+E33+E29+E25+E21</f>
        <v>1101</v>
      </c>
      <c r="H59">
        <f>H57+H53+H49+H45+H41+H37+H33+H29+H25+H21</f>
        <v>1128.5</v>
      </c>
      <c r="K59">
        <f>K57+K53+K49+K45+K41+K37+K33+K29+K25+K21</f>
        <v>11233</v>
      </c>
      <c r="N59">
        <f>SUM(B59:M59)</f>
        <v>22977.5</v>
      </c>
    </row>
  </sheetData>
  <mergeCells count="5">
    <mergeCell ref="A5:J5"/>
    <mergeCell ref="A8:C8"/>
    <mergeCell ref="D8:F8"/>
    <mergeCell ref="G8:I8"/>
    <mergeCell ref="J8:L8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opLeftCell="A7" zoomScale="110" zoomScaleNormal="110" workbookViewId="0">
      <selection activeCell="A36" sqref="A36:A39"/>
    </sheetView>
  </sheetViews>
  <sheetFormatPr defaultRowHeight="15"/>
  <cols>
    <col min="1" max="1" width="18.5703125" customWidth="1"/>
    <col min="2" max="2" width="2.7109375" customWidth="1"/>
    <col min="3" max="6" width="9.5703125" bestFit="1" customWidth="1"/>
    <col min="7" max="7" width="10" customWidth="1"/>
    <col min="8" max="9" width="9.5703125" bestFit="1" customWidth="1"/>
    <col min="10" max="10" width="11.85546875" customWidth="1"/>
    <col min="11" max="12" width="9.5703125" customWidth="1"/>
    <col min="13" max="13" width="10.5703125" bestFit="1" customWidth="1"/>
    <col min="14" max="14" width="6.5703125" customWidth="1"/>
    <col min="15" max="15" width="1.28515625" customWidth="1"/>
    <col min="16" max="16" width="17" customWidth="1"/>
    <col min="17" max="17" width="5.140625" customWidth="1"/>
    <col min="18" max="18" width="7" customWidth="1"/>
    <col min="20" max="20" width="8.5703125" customWidth="1"/>
    <col min="21" max="21" width="7.5703125" customWidth="1"/>
    <col min="22" max="22" width="7.140625" customWidth="1"/>
    <col min="23" max="23" width="6.7109375" customWidth="1"/>
    <col min="24" max="24" width="7.42578125" customWidth="1"/>
    <col min="25" max="25" width="5.85546875" customWidth="1"/>
    <col min="26" max="26" width="7.42578125" customWidth="1"/>
    <col min="27" max="27" width="5.140625" customWidth="1"/>
    <col min="28" max="28" width="8" customWidth="1"/>
  </cols>
  <sheetData>
    <row r="1" spans="1:26">
      <c r="A1" s="87" t="s">
        <v>79</v>
      </c>
    </row>
    <row r="2" spans="1:26" ht="30">
      <c r="A2" s="7" t="s">
        <v>17</v>
      </c>
      <c r="B2" s="8"/>
      <c r="C2" s="8" t="s">
        <v>1</v>
      </c>
      <c r="D2" s="8" t="s">
        <v>2</v>
      </c>
      <c r="E2" s="8" t="s">
        <v>3</v>
      </c>
      <c r="F2" s="8" t="s">
        <v>4</v>
      </c>
      <c r="G2" s="8" t="s">
        <v>18</v>
      </c>
      <c r="H2" s="8" t="s">
        <v>6</v>
      </c>
      <c r="I2" s="8" t="s">
        <v>19</v>
      </c>
      <c r="J2" s="8" t="s">
        <v>15</v>
      </c>
      <c r="K2" s="8" t="s">
        <v>16</v>
      </c>
      <c r="L2" s="8" t="s">
        <v>8</v>
      </c>
      <c r="M2" s="8" t="s">
        <v>20</v>
      </c>
    </row>
    <row r="3" spans="1:26">
      <c r="A3" t="s">
        <v>21</v>
      </c>
      <c r="C3" s="9">
        <f>103-30</f>
        <v>73</v>
      </c>
      <c r="D3" s="9">
        <v>108</v>
      </c>
      <c r="E3" s="19">
        <f>226-77</f>
        <v>149</v>
      </c>
      <c r="F3" s="9">
        <v>86</v>
      </c>
      <c r="G3" s="9">
        <f>134-4</f>
        <v>130</v>
      </c>
      <c r="H3" s="9">
        <f>152-28</f>
        <v>124</v>
      </c>
      <c r="I3" s="9">
        <v>94</v>
      </c>
      <c r="J3" s="19">
        <f>158-72</f>
        <v>86</v>
      </c>
      <c r="K3" s="19">
        <f>111-2</f>
        <v>109</v>
      </c>
      <c r="L3" s="9">
        <v>59</v>
      </c>
      <c r="M3" s="9">
        <f t="shared" ref="M3:M8" si="0">SUM(C3:L3)</f>
        <v>1018</v>
      </c>
    </row>
    <row r="4" spans="1:26">
      <c r="A4" s="8" t="s">
        <v>22</v>
      </c>
      <c r="C4" s="9">
        <v>0</v>
      </c>
      <c r="D4" s="9">
        <f>(103)/2</f>
        <v>51.5</v>
      </c>
      <c r="E4" s="9">
        <v>0</v>
      </c>
      <c r="F4" s="9">
        <f>1/2</f>
        <v>0.5</v>
      </c>
      <c r="G4" s="9">
        <f>1</f>
        <v>1</v>
      </c>
      <c r="H4" s="9">
        <f>47/2</f>
        <v>23.5</v>
      </c>
      <c r="I4" s="9">
        <f>21/2</f>
        <v>10.5</v>
      </c>
      <c r="J4" s="19">
        <v>0</v>
      </c>
      <c r="K4" s="19">
        <f>12/2</f>
        <v>6</v>
      </c>
      <c r="L4" s="9">
        <f>83/2</f>
        <v>41.5</v>
      </c>
      <c r="M4" s="9">
        <f t="shared" si="0"/>
        <v>134.5</v>
      </c>
    </row>
    <row r="5" spans="1:26">
      <c r="A5" t="s">
        <v>23</v>
      </c>
      <c r="C5" s="9">
        <v>4</v>
      </c>
      <c r="D5" s="9">
        <f>5-2</f>
        <v>3</v>
      </c>
      <c r="E5" s="9">
        <f>29-1</f>
        <v>28</v>
      </c>
      <c r="F5" s="9">
        <v>2</v>
      </c>
      <c r="G5" s="9">
        <v>37</v>
      </c>
      <c r="H5" s="9">
        <f>5-3</f>
        <v>2</v>
      </c>
      <c r="I5" s="9">
        <f>3-1</f>
        <v>2</v>
      </c>
      <c r="J5" s="19">
        <v>4</v>
      </c>
      <c r="K5" s="19">
        <v>0</v>
      </c>
      <c r="L5" s="9">
        <v>0</v>
      </c>
      <c r="M5" s="9">
        <f t="shared" si="0"/>
        <v>82</v>
      </c>
    </row>
    <row r="6" spans="1:26">
      <c r="A6" t="s">
        <v>24</v>
      </c>
      <c r="C6" s="9">
        <v>16</v>
      </c>
      <c r="D6" s="9">
        <v>38</v>
      </c>
      <c r="E6" s="9">
        <v>101</v>
      </c>
      <c r="F6" s="9">
        <v>22</v>
      </c>
      <c r="G6" s="9">
        <v>68</v>
      </c>
      <c r="H6" s="9">
        <v>31</v>
      </c>
      <c r="I6" s="9">
        <v>56</v>
      </c>
      <c r="J6" s="19">
        <v>7</v>
      </c>
      <c r="K6" s="19">
        <v>13</v>
      </c>
      <c r="L6" s="9">
        <v>9</v>
      </c>
      <c r="M6" s="9">
        <f t="shared" si="0"/>
        <v>361</v>
      </c>
    </row>
    <row r="7" spans="1:26">
      <c r="A7" t="s">
        <v>25</v>
      </c>
      <c r="C7" s="9">
        <f>1*24</f>
        <v>24</v>
      </c>
      <c r="D7" s="9">
        <f>2*24</f>
        <v>48</v>
      </c>
      <c r="E7" s="9">
        <f>2*24</f>
        <v>48</v>
      </c>
      <c r="F7" s="9">
        <f>1*24</f>
        <v>24</v>
      </c>
      <c r="G7" s="9">
        <f>2*24</f>
        <v>48</v>
      </c>
      <c r="H7" s="9">
        <f>1*24</f>
        <v>24</v>
      </c>
      <c r="I7" s="9">
        <f>2*24</f>
        <v>48</v>
      </c>
      <c r="J7" s="19">
        <v>0</v>
      </c>
      <c r="K7" s="19">
        <v>24</v>
      </c>
      <c r="L7" s="9">
        <f>1*24</f>
        <v>24</v>
      </c>
      <c r="M7" s="9">
        <f t="shared" si="0"/>
        <v>312</v>
      </c>
    </row>
    <row r="8" spans="1:26">
      <c r="A8" t="s">
        <v>26</v>
      </c>
      <c r="C8" s="9">
        <v>0</v>
      </c>
      <c r="D8" s="9">
        <v>8</v>
      </c>
      <c r="E8" s="9">
        <f>2*8</f>
        <v>16</v>
      </c>
      <c r="F8" s="9">
        <v>0</v>
      </c>
      <c r="G8" s="9">
        <f>1*8</f>
        <v>8</v>
      </c>
      <c r="H8" s="9">
        <v>8</v>
      </c>
      <c r="I8" s="9">
        <v>0</v>
      </c>
      <c r="J8" s="19">
        <v>0</v>
      </c>
      <c r="K8" s="19">
        <v>0</v>
      </c>
      <c r="L8" s="9">
        <v>0</v>
      </c>
      <c r="M8" s="9">
        <f t="shared" si="0"/>
        <v>40</v>
      </c>
    </row>
    <row r="9" spans="1:26">
      <c r="A9" t="s">
        <v>0</v>
      </c>
      <c r="C9" s="9">
        <f t="shared" ref="C9:L9" si="1">SUM(C3:C8)</f>
        <v>117</v>
      </c>
      <c r="D9" s="9">
        <f t="shared" si="1"/>
        <v>256.5</v>
      </c>
      <c r="E9" s="9">
        <f t="shared" si="1"/>
        <v>342</v>
      </c>
      <c r="F9" s="9">
        <f t="shared" si="1"/>
        <v>134.5</v>
      </c>
      <c r="G9" s="9">
        <f t="shared" si="1"/>
        <v>292</v>
      </c>
      <c r="H9" s="9">
        <f t="shared" si="1"/>
        <v>212.5</v>
      </c>
      <c r="I9" s="9">
        <f t="shared" si="1"/>
        <v>210.5</v>
      </c>
      <c r="J9" s="19">
        <f t="shared" si="1"/>
        <v>97</v>
      </c>
      <c r="K9" s="19">
        <f t="shared" si="1"/>
        <v>152</v>
      </c>
      <c r="L9" s="9">
        <f t="shared" si="1"/>
        <v>133.5</v>
      </c>
      <c r="M9" s="9">
        <f>SUM(M3:M8)</f>
        <v>1947.5</v>
      </c>
    </row>
    <row r="10" spans="1:26">
      <c r="J10" s="49"/>
      <c r="K10" s="49"/>
      <c r="Y10" s="49"/>
      <c r="Z10" s="49"/>
    </row>
    <row r="11" spans="1:26">
      <c r="A11" s="8"/>
      <c r="C11" s="9"/>
      <c r="D11" s="9"/>
      <c r="E11" s="9"/>
      <c r="F11" s="9"/>
      <c r="G11" s="9"/>
      <c r="H11" s="9"/>
      <c r="I11" s="9"/>
      <c r="J11" s="19"/>
      <c r="K11" s="19"/>
      <c r="L11" s="9"/>
      <c r="M11" s="9"/>
    </row>
    <row r="13" spans="1:26">
      <c r="A13" s="82" t="s">
        <v>74</v>
      </c>
    </row>
    <row r="14" spans="1:26" ht="30">
      <c r="A14" s="7" t="s">
        <v>17</v>
      </c>
      <c r="B14" s="8"/>
      <c r="C14" s="8" t="s">
        <v>1</v>
      </c>
      <c r="D14" s="8" t="s">
        <v>2</v>
      </c>
      <c r="E14" s="8" t="s">
        <v>3</v>
      </c>
      <c r="F14" s="8" t="s">
        <v>4</v>
      </c>
      <c r="G14" s="8" t="s">
        <v>18</v>
      </c>
      <c r="H14" s="8" t="s">
        <v>6</v>
      </c>
      <c r="I14" s="8" t="s">
        <v>19</v>
      </c>
      <c r="J14" s="8" t="s">
        <v>15</v>
      </c>
      <c r="K14" s="8" t="s">
        <v>16</v>
      </c>
      <c r="L14" s="8" t="s">
        <v>8</v>
      </c>
      <c r="M14" s="8" t="s">
        <v>20</v>
      </c>
    </row>
    <row r="15" spans="1:26">
      <c r="A15" t="s">
        <v>21</v>
      </c>
      <c r="C15" s="9">
        <v>80</v>
      </c>
      <c r="D15" s="9">
        <v>113</v>
      </c>
      <c r="E15" s="19">
        <f>241-75</f>
        <v>166</v>
      </c>
      <c r="F15" s="9">
        <v>84</v>
      </c>
      <c r="G15" s="9">
        <f>141-2</f>
        <v>139</v>
      </c>
      <c r="H15" s="9">
        <f>147-24</f>
        <v>123</v>
      </c>
      <c r="I15" s="9">
        <v>96</v>
      </c>
      <c r="J15" s="19">
        <v>83</v>
      </c>
      <c r="K15" s="19">
        <v>100</v>
      </c>
      <c r="L15" s="9">
        <v>107</v>
      </c>
      <c r="M15" s="9">
        <f t="shared" ref="M15:M20" si="2">SUM(C15:L15)</f>
        <v>1091</v>
      </c>
    </row>
    <row r="16" spans="1:26">
      <c r="A16" s="8" t="s">
        <v>22</v>
      </c>
      <c r="C16" s="9">
        <v>0</v>
      </c>
      <c r="D16" s="9">
        <f>(107)/2</f>
        <v>53.5</v>
      </c>
      <c r="E16" s="9">
        <v>0</v>
      </c>
      <c r="F16" s="9">
        <f>1/2</f>
        <v>0.5</v>
      </c>
      <c r="G16" s="9">
        <f>2/2</f>
        <v>1</v>
      </c>
      <c r="H16" s="9">
        <f>50/2</f>
        <v>25</v>
      </c>
      <c r="I16" s="9">
        <f>19/2</f>
        <v>9.5</v>
      </c>
      <c r="J16" s="19">
        <v>0</v>
      </c>
      <c r="K16" s="19">
        <f>10/2</f>
        <v>5</v>
      </c>
      <c r="L16" s="9">
        <f>44/2</f>
        <v>22</v>
      </c>
      <c r="M16" s="9">
        <f t="shared" si="2"/>
        <v>116.5</v>
      </c>
    </row>
    <row r="17" spans="1:13">
      <c r="A17" t="s">
        <v>23</v>
      </c>
      <c r="C17" s="9">
        <v>3</v>
      </c>
      <c r="D17" s="9">
        <f>4-4</f>
        <v>0</v>
      </c>
      <c r="E17" s="9">
        <v>17</v>
      </c>
      <c r="F17" s="9">
        <v>2</v>
      </c>
      <c r="G17" s="9">
        <v>36</v>
      </c>
      <c r="H17" s="9">
        <v>1</v>
      </c>
      <c r="I17" s="9">
        <f>9-3</f>
        <v>6</v>
      </c>
      <c r="J17" s="19">
        <v>2</v>
      </c>
      <c r="K17" s="19">
        <f>1</f>
        <v>1</v>
      </c>
      <c r="L17" s="9">
        <v>0</v>
      </c>
      <c r="M17" s="9">
        <f t="shared" si="2"/>
        <v>68</v>
      </c>
    </row>
    <row r="18" spans="1:13">
      <c r="A18" t="s">
        <v>24</v>
      </c>
      <c r="C18" s="9">
        <v>8</v>
      </c>
      <c r="D18" s="9">
        <v>34</v>
      </c>
      <c r="E18" s="9">
        <v>100</v>
      </c>
      <c r="F18" s="9">
        <v>13</v>
      </c>
      <c r="G18" s="9">
        <v>59</v>
      </c>
      <c r="H18" s="9">
        <v>45</v>
      </c>
      <c r="I18" s="9">
        <v>60</v>
      </c>
      <c r="J18" s="19">
        <v>4</v>
      </c>
      <c r="K18" s="19">
        <v>15</v>
      </c>
      <c r="L18" s="9">
        <v>12</v>
      </c>
      <c r="M18" s="9">
        <f t="shared" si="2"/>
        <v>350</v>
      </c>
    </row>
    <row r="19" spans="1:13">
      <c r="A19" t="s">
        <v>25</v>
      </c>
      <c r="C19" s="9">
        <f>1*24</f>
        <v>24</v>
      </c>
      <c r="D19" s="9">
        <f>1*24</f>
        <v>24</v>
      </c>
      <c r="E19" s="9">
        <f>3*24</f>
        <v>72</v>
      </c>
      <c r="F19" s="9">
        <f>1*24</f>
        <v>24</v>
      </c>
      <c r="G19" s="9">
        <f>2*24</f>
        <v>48</v>
      </c>
      <c r="H19" s="9">
        <f>2*24</f>
        <v>48</v>
      </c>
      <c r="I19" s="9">
        <f>1*24</f>
        <v>24</v>
      </c>
      <c r="J19" s="19">
        <v>0</v>
      </c>
      <c r="K19" s="19">
        <f>24/2</f>
        <v>12</v>
      </c>
      <c r="L19" s="9">
        <f>1*24</f>
        <v>24</v>
      </c>
      <c r="M19" s="9">
        <f t="shared" si="2"/>
        <v>300</v>
      </c>
    </row>
    <row r="20" spans="1:13">
      <c r="A20" t="s">
        <v>26</v>
      </c>
      <c r="C20" s="9">
        <v>0</v>
      </c>
      <c r="D20" s="9">
        <v>0</v>
      </c>
      <c r="E20" s="9">
        <f>1*8</f>
        <v>8</v>
      </c>
      <c r="F20" s="9">
        <v>0</v>
      </c>
      <c r="G20" s="9">
        <f>1*8</f>
        <v>8</v>
      </c>
      <c r="H20" s="9">
        <v>0</v>
      </c>
      <c r="I20" s="9">
        <v>0</v>
      </c>
      <c r="J20" s="19">
        <v>0</v>
      </c>
      <c r="K20" s="19">
        <v>0</v>
      </c>
      <c r="L20" s="9">
        <v>8</v>
      </c>
      <c r="M20" s="9">
        <f t="shared" si="2"/>
        <v>24</v>
      </c>
    </row>
    <row r="21" spans="1:13">
      <c r="A21" t="s">
        <v>0</v>
      </c>
      <c r="C21" s="9">
        <f t="shared" ref="C21:L21" si="3">SUM(C15:C20)</f>
        <v>115</v>
      </c>
      <c r="D21" s="9">
        <f t="shared" si="3"/>
        <v>224.5</v>
      </c>
      <c r="E21" s="9">
        <f t="shared" si="3"/>
        <v>363</v>
      </c>
      <c r="F21" s="9">
        <f t="shared" si="3"/>
        <v>123.5</v>
      </c>
      <c r="G21" s="9">
        <f t="shared" si="3"/>
        <v>291</v>
      </c>
      <c r="H21" s="9">
        <f t="shared" si="3"/>
        <v>242</v>
      </c>
      <c r="I21" s="9">
        <f t="shared" si="3"/>
        <v>195.5</v>
      </c>
      <c r="J21" s="19">
        <f t="shared" si="3"/>
        <v>89</v>
      </c>
      <c r="K21" s="19">
        <f t="shared" si="3"/>
        <v>133</v>
      </c>
      <c r="L21" s="9">
        <f t="shared" si="3"/>
        <v>173</v>
      </c>
      <c r="M21" s="9">
        <f>SUM(M15:M20)</f>
        <v>1949.5</v>
      </c>
    </row>
    <row r="22" spans="1:13">
      <c r="J22" s="49"/>
      <c r="K22" s="49"/>
    </row>
    <row r="23" spans="1:13">
      <c r="A23" s="8"/>
      <c r="C23" s="9"/>
      <c r="D23" s="9"/>
      <c r="E23" s="9"/>
      <c r="F23" s="9"/>
      <c r="G23" s="9"/>
      <c r="H23" s="9"/>
      <c r="I23" s="9"/>
      <c r="J23" s="19"/>
      <c r="K23" s="19"/>
      <c r="L23" s="9"/>
      <c r="M23" s="9"/>
    </row>
    <row r="25" spans="1:13">
      <c r="A25" s="132" t="s">
        <v>92</v>
      </c>
    </row>
    <row r="26" spans="1:13" ht="30">
      <c r="A26" s="7" t="s">
        <v>17</v>
      </c>
      <c r="B26" s="8"/>
      <c r="C26" s="8" t="s">
        <v>1</v>
      </c>
      <c r="D26" s="8" t="s">
        <v>2</v>
      </c>
      <c r="E26" s="8" t="s">
        <v>3</v>
      </c>
      <c r="F26" s="8" t="s">
        <v>4</v>
      </c>
      <c r="G26" s="8" t="s">
        <v>18</v>
      </c>
      <c r="H26" s="8" t="s">
        <v>6</v>
      </c>
      <c r="I26" s="8" t="s">
        <v>19</v>
      </c>
      <c r="J26" s="8" t="s">
        <v>15</v>
      </c>
      <c r="K26" s="8" t="s">
        <v>16</v>
      </c>
      <c r="L26" s="8" t="s">
        <v>8</v>
      </c>
      <c r="M26" s="8" t="s">
        <v>20</v>
      </c>
    </row>
    <row r="27" spans="1:13">
      <c r="A27" t="s">
        <v>21</v>
      </c>
      <c r="C27" s="9">
        <f t="shared" ref="C27:H27" si="4">(C3+C3+C15)/3</f>
        <v>75.333333333333329</v>
      </c>
      <c r="D27" s="9">
        <f t="shared" si="4"/>
        <v>109.66666666666667</v>
      </c>
      <c r="E27" s="19">
        <f t="shared" si="4"/>
        <v>154.66666666666666</v>
      </c>
      <c r="F27" s="9">
        <f t="shared" si="4"/>
        <v>85.333333333333329</v>
      </c>
      <c r="G27" s="9">
        <f t="shared" si="4"/>
        <v>133</v>
      </c>
      <c r="H27" s="9">
        <f t="shared" si="4"/>
        <v>123.66666666666667</v>
      </c>
      <c r="I27" s="9">
        <f>(I3+I3+I15)/3</f>
        <v>94.666666666666671</v>
      </c>
      <c r="J27" s="19">
        <f>(J3+J3+J15)/3</f>
        <v>85</v>
      </c>
      <c r="K27" s="19">
        <f>(K3+K3+K15)/3</f>
        <v>106</v>
      </c>
      <c r="L27" s="9">
        <f>(L3+L3+L15)/3</f>
        <v>75</v>
      </c>
      <c r="M27" s="9">
        <f t="shared" ref="M27:M32" si="5">SUM(C27:L27)</f>
        <v>1042.3333333333333</v>
      </c>
    </row>
    <row r="28" spans="1:13">
      <c r="A28" s="8" t="s">
        <v>22</v>
      </c>
      <c r="C28" s="9">
        <f t="shared" ref="C28:L28" si="6">(C4+C4+C16)/3</f>
        <v>0</v>
      </c>
      <c r="D28" s="9">
        <f t="shared" si="6"/>
        <v>52.166666666666664</v>
      </c>
      <c r="E28" s="19">
        <f t="shared" si="6"/>
        <v>0</v>
      </c>
      <c r="F28" s="9">
        <f t="shared" si="6"/>
        <v>0.5</v>
      </c>
      <c r="G28" s="9">
        <f t="shared" si="6"/>
        <v>1</v>
      </c>
      <c r="H28" s="9">
        <f t="shared" si="6"/>
        <v>24</v>
      </c>
      <c r="I28" s="9">
        <f t="shared" si="6"/>
        <v>10.166666666666666</v>
      </c>
      <c r="J28" s="19">
        <f t="shared" si="6"/>
        <v>0</v>
      </c>
      <c r="K28" s="19">
        <f t="shared" si="6"/>
        <v>5.666666666666667</v>
      </c>
      <c r="L28" s="9">
        <f t="shared" si="6"/>
        <v>35</v>
      </c>
      <c r="M28" s="9">
        <f t="shared" si="5"/>
        <v>128.5</v>
      </c>
    </row>
    <row r="29" spans="1:13">
      <c r="A29" t="s">
        <v>23</v>
      </c>
      <c r="C29" s="9">
        <f t="shared" ref="C29:L29" si="7">(C5+C5+C17)/3</f>
        <v>3.6666666666666665</v>
      </c>
      <c r="D29" s="9">
        <f t="shared" si="7"/>
        <v>2</v>
      </c>
      <c r="E29" s="19">
        <f t="shared" si="7"/>
        <v>24.333333333333332</v>
      </c>
      <c r="F29" s="9">
        <f t="shared" si="7"/>
        <v>2</v>
      </c>
      <c r="G29" s="9">
        <f t="shared" si="7"/>
        <v>36.666666666666664</v>
      </c>
      <c r="H29" s="9">
        <f t="shared" si="7"/>
        <v>1.6666666666666667</v>
      </c>
      <c r="I29" s="9">
        <f t="shared" si="7"/>
        <v>3.3333333333333335</v>
      </c>
      <c r="J29" s="19">
        <f t="shared" si="7"/>
        <v>3.3333333333333335</v>
      </c>
      <c r="K29" s="19">
        <f t="shared" si="7"/>
        <v>0.33333333333333331</v>
      </c>
      <c r="L29" s="9">
        <f t="shared" si="7"/>
        <v>0</v>
      </c>
      <c r="M29" s="9">
        <f t="shared" si="5"/>
        <v>77.333333333333314</v>
      </c>
    </row>
    <row r="30" spans="1:13">
      <c r="A30" t="s">
        <v>24</v>
      </c>
      <c r="C30" s="9">
        <f t="shared" ref="C30:L30" si="8">(C6+C6+C18)/3</f>
        <v>13.333333333333334</v>
      </c>
      <c r="D30" s="9">
        <f t="shared" si="8"/>
        <v>36.666666666666664</v>
      </c>
      <c r="E30" s="19">
        <f t="shared" si="8"/>
        <v>100.66666666666667</v>
      </c>
      <c r="F30" s="9">
        <f t="shared" si="8"/>
        <v>19</v>
      </c>
      <c r="G30" s="9">
        <f t="shared" si="8"/>
        <v>65</v>
      </c>
      <c r="H30" s="9">
        <f t="shared" si="8"/>
        <v>35.666666666666664</v>
      </c>
      <c r="I30" s="9">
        <f t="shared" si="8"/>
        <v>57.333333333333336</v>
      </c>
      <c r="J30" s="19">
        <f t="shared" si="8"/>
        <v>6</v>
      </c>
      <c r="K30" s="19">
        <f t="shared" si="8"/>
        <v>13.666666666666666</v>
      </c>
      <c r="L30" s="9">
        <f t="shared" si="8"/>
        <v>10</v>
      </c>
      <c r="M30" s="9">
        <f t="shared" si="5"/>
        <v>357.33333333333337</v>
      </c>
    </row>
    <row r="31" spans="1:13">
      <c r="A31" t="s">
        <v>25</v>
      </c>
      <c r="C31" s="9">
        <f t="shared" ref="C31:L31" si="9">(C7+C7+C19)/3</f>
        <v>24</v>
      </c>
      <c r="D31" s="9">
        <f t="shared" si="9"/>
        <v>40</v>
      </c>
      <c r="E31" s="19">
        <f t="shared" si="9"/>
        <v>56</v>
      </c>
      <c r="F31" s="9">
        <f t="shared" si="9"/>
        <v>24</v>
      </c>
      <c r="G31" s="9">
        <f t="shared" si="9"/>
        <v>48</v>
      </c>
      <c r="H31" s="9">
        <f t="shared" si="9"/>
        <v>32</v>
      </c>
      <c r="I31" s="9">
        <f t="shared" si="9"/>
        <v>40</v>
      </c>
      <c r="J31" s="19">
        <f t="shared" si="9"/>
        <v>0</v>
      </c>
      <c r="K31" s="19">
        <f t="shared" si="9"/>
        <v>20</v>
      </c>
      <c r="L31" s="9">
        <f t="shared" si="9"/>
        <v>24</v>
      </c>
      <c r="M31" s="9">
        <f t="shared" si="5"/>
        <v>308</v>
      </c>
    </row>
    <row r="32" spans="1:13">
      <c r="A32" t="s">
        <v>26</v>
      </c>
      <c r="C32" s="9">
        <f t="shared" ref="C32:L32" si="10">(C8+C8+C20)/3</f>
        <v>0</v>
      </c>
      <c r="D32" s="9">
        <f t="shared" si="10"/>
        <v>5.333333333333333</v>
      </c>
      <c r="E32" s="19">
        <f t="shared" si="10"/>
        <v>13.333333333333334</v>
      </c>
      <c r="F32" s="9">
        <f t="shared" si="10"/>
        <v>0</v>
      </c>
      <c r="G32" s="9">
        <f t="shared" si="10"/>
        <v>8</v>
      </c>
      <c r="H32" s="9">
        <f t="shared" si="10"/>
        <v>5.333333333333333</v>
      </c>
      <c r="I32" s="9">
        <f t="shared" si="10"/>
        <v>0</v>
      </c>
      <c r="J32" s="19">
        <f t="shared" si="10"/>
        <v>0</v>
      </c>
      <c r="K32" s="19">
        <f t="shared" si="10"/>
        <v>0</v>
      </c>
      <c r="L32" s="9">
        <f t="shared" si="10"/>
        <v>2.6666666666666665</v>
      </c>
      <c r="M32" s="9">
        <f t="shared" si="5"/>
        <v>34.666666666666664</v>
      </c>
    </row>
    <row r="33" spans="1:13">
      <c r="A33" t="s">
        <v>0</v>
      </c>
      <c r="C33" s="9">
        <f t="shared" ref="C33:L33" si="11">SUM(C27:C32)</f>
        <v>116.33333333333333</v>
      </c>
      <c r="D33" s="9">
        <f t="shared" si="11"/>
        <v>245.83333333333334</v>
      </c>
      <c r="E33" s="9">
        <f t="shared" si="11"/>
        <v>349</v>
      </c>
      <c r="F33" s="9">
        <f t="shared" si="11"/>
        <v>130.83333333333331</v>
      </c>
      <c r="G33" s="9">
        <f t="shared" si="11"/>
        <v>291.66666666666663</v>
      </c>
      <c r="H33" s="9">
        <f t="shared" si="11"/>
        <v>222.33333333333334</v>
      </c>
      <c r="I33" s="9">
        <f t="shared" si="11"/>
        <v>205.5</v>
      </c>
      <c r="J33" s="19">
        <f t="shared" si="11"/>
        <v>94.333333333333329</v>
      </c>
      <c r="K33" s="19">
        <f t="shared" si="11"/>
        <v>145.66666666666669</v>
      </c>
      <c r="L33" s="9">
        <f t="shared" si="11"/>
        <v>146.66666666666666</v>
      </c>
      <c r="M33" s="9">
        <f>SUM(M27:M32)</f>
        <v>1948.1666666666667</v>
      </c>
    </row>
    <row r="34" spans="1:13">
      <c r="J34" s="49"/>
      <c r="K34" s="49"/>
    </row>
    <row r="35" spans="1:13">
      <c r="A35" s="8"/>
      <c r="C35" s="9"/>
      <c r="D35" s="9"/>
      <c r="E35" s="9"/>
      <c r="F35" s="9"/>
      <c r="G35" s="9"/>
      <c r="H35" s="9"/>
      <c r="I35" s="9"/>
      <c r="J35" s="19"/>
      <c r="K35" s="19"/>
      <c r="L35" s="9"/>
      <c r="M35" s="9"/>
    </row>
    <row r="36" spans="1:13">
      <c r="A36" t="s">
        <v>100</v>
      </c>
      <c r="J36" s="49"/>
      <c r="K36" s="49"/>
    </row>
    <row r="37" spans="1:13">
      <c r="A37" t="s">
        <v>93</v>
      </c>
      <c r="J37" s="49"/>
      <c r="K37" s="49"/>
    </row>
    <row r="38" spans="1:13">
      <c r="A38" t="s">
        <v>94</v>
      </c>
      <c r="J38" s="49"/>
      <c r="K38" s="49"/>
    </row>
    <row r="39" spans="1:13">
      <c r="A39" t="s">
        <v>127</v>
      </c>
    </row>
  </sheetData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opLeftCell="A7" zoomScaleNormal="100" workbookViewId="0">
      <selection activeCell="A37" sqref="A37:A41"/>
    </sheetView>
  </sheetViews>
  <sheetFormatPr defaultRowHeight="15"/>
  <cols>
    <col min="1" max="1" width="20.5703125" customWidth="1"/>
    <col min="2" max="2" width="4.140625" customWidth="1"/>
    <col min="3" max="3" width="7" customWidth="1"/>
    <col min="4" max="4" width="9.28515625" bestFit="1" customWidth="1"/>
    <col min="5" max="5" width="9" customWidth="1"/>
    <col min="6" max="6" width="7.5703125" customWidth="1"/>
    <col min="7" max="7" width="9.5703125" customWidth="1"/>
    <col min="8" max="8" width="7.42578125" customWidth="1"/>
    <col min="9" max="9" width="8" customWidth="1"/>
    <col min="10" max="10" width="6.85546875" customWidth="1"/>
    <col min="11" max="11" width="7.42578125" customWidth="1"/>
    <col min="12" max="12" width="6.7109375" customWidth="1"/>
    <col min="13" max="13" width="9.7109375" customWidth="1"/>
  </cols>
  <sheetData>
    <row r="1" spans="1:25">
      <c r="A1" s="87" t="s">
        <v>81</v>
      </c>
    </row>
    <row r="2" spans="1:25" ht="30">
      <c r="A2" s="7" t="s">
        <v>17</v>
      </c>
      <c r="B2" s="8"/>
      <c r="C2" s="8" t="s">
        <v>1</v>
      </c>
      <c r="D2" s="8" t="s">
        <v>2</v>
      </c>
      <c r="E2" s="8" t="s">
        <v>3</v>
      </c>
      <c r="F2" s="8" t="s">
        <v>4</v>
      </c>
      <c r="G2" s="8" t="s">
        <v>18</v>
      </c>
      <c r="H2" s="8" t="s">
        <v>6</v>
      </c>
      <c r="I2" s="8" t="s">
        <v>19</v>
      </c>
      <c r="J2" s="8" t="s">
        <v>15</v>
      </c>
      <c r="K2" s="8" t="s">
        <v>16</v>
      </c>
      <c r="L2" s="8" t="s">
        <v>103</v>
      </c>
      <c r="M2" s="8" t="s">
        <v>20</v>
      </c>
      <c r="N2" s="10"/>
    </row>
    <row r="3" spans="1:25">
      <c r="A3" t="s">
        <v>21</v>
      </c>
      <c r="C3" s="9">
        <f>103-30</f>
        <v>73</v>
      </c>
      <c r="D3" s="9">
        <v>108</v>
      </c>
      <c r="E3" s="19">
        <f>226-77</f>
        <v>149</v>
      </c>
      <c r="F3" s="9">
        <f>86+54</f>
        <v>140</v>
      </c>
      <c r="G3" s="9">
        <f>134-4+12</f>
        <v>142</v>
      </c>
      <c r="H3" s="9">
        <f>152-28</f>
        <v>124</v>
      </c>
      <c r="I3" s="9">
        <f>94+46</f>
        <v>140</v>
      </c>
      <c r="J3" s="19">
        <f>158-72</f>
        <v>86</v>
      </c>
      <c r="K3" s="19">
        <f>111-2</f>
        <v>109</v>
      </c>
      <c r="L3" s="9">
        <f>59+1</f>
        <v>60</v>
      </c>
      <c r="M3" s="9">
        <f t="shared" ref="M3:M8" si="0">SUM(C3:L3)</f>
        <v>1131</v>
      </c>
      <c r="O3" s="9"/>
      <c r="P3" s="9"/>
      <c r="Q3" s="19"/>
      <c r="R3" s="9"/>
      <c r="S3" s="9"/>
      <c r="T3" s="9"/>
      <c r="U3" s="9"/>
      <c r="V3" s="19"/>
      <c r="W3" s="19"/>
      <c r="X3" s="9"/>
      <c r="Y3" s="9"/>
    </row>
    <row r="4" spans="1:25">
      <c r="A4" s="8" t="s">
        <v>22</v>
      </c>
      <c r="C4" s="9">
        <v>0</v>
      </c>
      <c r="D4" s="9">
        <f>(103)/2</f>
        <v>51.5</v>
      </c>
      <c r="E4" s="9">
        <v>0</v>
      </c>
      <c r="F4" s="9">
        <f>1/2</f>
        <v>0.5</v>
      </c>
      <c r="G4" s="9">
        <f>1</f>
        <v>1</v>
      </c>
      <c r="H4" s="9">
        <f>47/2</f>
        <v>23.5</v>
      </c>
      <c r="I4" s="9">
        <f>21/2</f>
        <v>10.5</v>
      </c>
      <c r="J4" s="19">
        <v>0</v>
      </c>
      <c r="K4" s="19">
        <f>12/2</f>
        <v>6</v>
      </c>
      <c r="L4" s="9">
        <f>83/2</f>
        <v>41.5</v>
      </c>
      <c r="M4" s="9">
        <f t="shared" si="0"/>
        <v>134.5</v>
      </c>
      <c r="O4" s="9"/>
      <c r="P4" s="9"/>
      <c r="Q4" s="9"/>
      <c r="R4" s="9"/>
      <c r="S4" s="9"/>
      <c r="T4" s="9"/>
      <c r="U4" s="9"/>
      <c r="V4" s="19"/>
      <c r="W4" s="19"/>
      <c r="X4" s="9"/>
      <c r="Y4" s="9"/>
    </row>
    <row r="5" spans="1:25">
      <c r="A5" t="s">
        <v>23</v>
      </c>
      <c r="C5" s="9">
        <v>4</v>
      </c>
      <c r="D5" s="9">
        <f>5-2</f>
        <v>3</v>
      </c>
      <c r="E5" s="9">
        <f>29-1</f>
        <v>28</v>
      </c>
      <c r="F5" s="9">
        <v>2</v>
      </c>
      <c r="G5" s="9">
        <v>37</v>
      </c>
      <c r="H5" s="9">
        <f>5-3</f>
        <v>2</v>
      </c>
      <c r="I5" s="9">
        <f>3-1</f>
        <v>2</v>
      </c>
      <c r="J5" s="19">
        <v>4</v>
      </c>
      <c r="K5" s="19">
        <v>0</v>
      </c>
      <c r="L5" s="9">
        <v>0</v>
      </c>
      <c r="M5" s="9">
        <f t="shared" si="0"/>
        <v>82</v>
      </c>
      <c r="O5" s="9"/>
      <c r="P5" s="9"/>
      <c r="Q5" s="9"/>
      <c r="R5" s="9"/>
      <c r="S5" s="9"/>
      <c r="T5" s="9"/>
      <c r="U5" s="9"/>
      <c r="V5" s="19"/>
      <c r="W5" s="19"/>
      <c r="X5" s="9"/>
      <c r="Y5" s="9"/>
    </row>
    <row r="6" spans="1:25">
      <c r="A6" t="s">
        <v>24</v>
      </c>
      <c r="C6" s="9">
        <v>16</v>
      </c>
      <c r="D6" s="9">
        <v>38</v>
      </c>
      <c r="E6" s="9">
        <v>101</v>
      </c>
      <c r="F6" s="9">
        <v>22</v>
      </c>
      <c r="G6" s="9">
        <v>68</v>
      </c>
      <c r="H6" s="9">
        <v>31</v>
      </c>
      <c r="I6" s="9">
        <v>56</v>
      </c>
      <c r="J6" s="19">
        <v>7</v>
      </c>
      <c r="K6" s="19">
        <v>13</v>
      </c>
      <c r="L6" s="9">
        <v>9</v>
      </c>
      <c r="M6" s="9">
        <f t="shared" si="0"/>
        <v>361</v>
      </c>
      <c r="O6" s="9"/>
      <c r="P6" s="9"/>
      <c r="Q6" s="9"/>
      <c r="R6" s="9"/>
      <c r="S6" s="9"/>
      <c r="T6" s="9"/>
      <c r="U6" s="9"/>
      <c r="V6" s="19"/>
      <c r="W6" s="19"/>
      <c r="X6" s="9"/>
      <c r="Y6" s="9"/>
    </row>
    <row r="7" spans="1:25">
      <c r="A7" t="s">
        <v>25</v>
      </c>
      <c r="C7" s="9">
        <f>1*24</f>
        <v>24</v>
      </c>
      <c r="D7" s="9">
        <f>2*24</f>
        <v>48</v>
      </c>
      <c r="E7" s="9">
        <f>2*24</f>
        <v>48</v>
      </c>
      <c r="F7" s="9">
        <f>1*24</f>
        <v>24</v>
      </c>
      <c r="G7" s="9">
        <f>2*24</f>
        <v>48</v>
      </c>
      <c r="H7" s="9">
        <f>1*24</f>
        <v>24</v>
      </c>
      <c r="I7" s="9">
        <f>2*24</f>
        <v>48</v>
      </c>
      <c r="J7" s="19">
        <v>0</v>
      </c>
      <c r="K7" s="19">
        <v>24</v>
      </c>
      <c r="L7" s="9">
        <f>1*24</f>
        <v>24</v>
      </c>
      <c r="M7" s="9">
        <f t="shared" si="0"/>
        <v>312</v>
      </c>
      <c r="O7" s="9"/>
      <c r="P7" s="9"/>
      <c r="Q7" s="9"/>
      <c r="R7" s="9"/>
      <c r="S7" s="9"/>
      <c r="T7" s="9"/>
      <c r="U7" s="9"/>
      <c r="V7" s="19"/>
      <c r="W7" s="19"/>
      <c r="X7" s="9"/>
      <c r="Y7" s="9"/>
    </row>
    <row r="8" spans="1:25">
      <c r="A8" t="s">
        <v>26</v>
      </c>
      <c r="C8" s="9">
        <v>0</v>
      </c>
      <c r="D8" s="9">
        <v>8</v>
      </c>
      <c r="E8" s="9">
        <f>2*8</f>
        <v>16</v>
      </c>
      <c r="F8" s="9">
        <v>0</v>
      </c>
      <c r="G8" s="9">
        <f>1*8</f>
        <v>8</v>
      </c>
      <c r="H8" s="9">
        <v>8</v>
      </c>
      <c r="I8" s="9">
        <v>0</v>
      </c>
      <c r="J8" s="19">
        <v>0</v>
      </c>
      <c r="K8" s="19">
        <v>0</v>
      </c>
      <c r="L8" s="9">
        <v>0</v>
      </c>
      <c r="M8" s="9">
        <f t="shared" si="0"/>
        <v>40</v>
      </c>
      <c r="O8" s="9"/>
      <c r="P8" s="9"/>
      <c r="Q8" s="9"/>
      <c r="R8" s="9"/>
      <c r="S8" s="9"/>
      <c r="T8" s="9"/>
      <c r="U8" s="9"/>
      <c r="V8" s="19"/>
      <c r="W8" s="19"/>
      <c r="X8" s="9"/>
      <c r="Y8" s="9"/>
    </row>
    <row r="9" spans="1:25">
      <c r="A9" t="s">
        <v>0</v>
      </c>
      <c r="C9" s="9">
        <f t="shared" ref="C9:L9" si="1">SUM(C3:C8)</f>
        <v>117</v>
      </c>
      <c r="D9" s="9">
        <f t="shared" si="1"/>
        <v>256.5</v>
      </c>
      <c r="E9" s="9">
        <f t="shared" si="1"/>
        <v>342</v>
      </c>
      <c r="F9" s="9">
        <f t="shared" si="1"/>
        <v>188.5</v>
      </c>
      <c r="G9" s="9">
        <f t="shared" si="1"/>
        <v>304</v>
      </c>
      <c r="H9" s="9">
        <f t="shared" si="1"/>
        <v>212.5</v>
      </c>
      <c r="I9" s="9">
        <f t="shared" si="1"/>
        <v>256.5</v>
      </c>
      <c r="J9" s="19">
        <f t="shared" si="1"/>
        <v>97</v>
      </c>
      <c r="K9" s="19">
        <f t="shared" si="1"/>
        <v>152</v>
      </c>
      <c r="L9" s="9">
        <f t="shared" si="1"/>
        <v>134.5</v>
      </c>
      <c r="M9" s="9">
        <f>SUM(M3:M8)</f>
        <v>2060.5</v>
      </c>
      <c r="O9" s="9"/>
      <c r="P9" s="9"/>
      <c r="Q9" s="9"/>
      <c r="R9" s="9"/>
      <c r="S9" s="9"/>
      <c r="T9" s="9"/>
      <c r="U9" s="9"/>
      <c r="V9" s="19"/>
      <c r="W9" s="19"/>
      <c r="X9" s="9"/>
      <c r="Y9" s="9"/>
    </row>
    <row r="10" spans="1:25">
      <c r="C10" s="9"/>
      <c r="D10" s="9"/>
      <c r="E10" s="9"/>
      <c r="F10" s="9"/>
      <c r="G10" s="9"/>
      <c r="H10" s="9"/>
      <c r="I10" s="9"/>
      <c r="J10" s="19"/>
      <c r="K10" s="19"/>
      <c r="L10" s="9"/>
      <c r="M10" s="9"/>
    </row>
    <row r="11" spans="1:25">
      <c r="A11" t="s">
        <v>29</v>
      </c>
      <c r="C11" s="1">
        <f>(2704-615)+0+242+362</f>
        <v>2693</v>
      </c>
      <c r="D11" s="1">
        <f>5191+486+(201-55)+1435</f>
        <v>7258</v>
      </c>
      <c r="E11" s="1">
        <f>(11818-662)+0+1673+4739</f>
        <v>17568</v>
      </c>
      <c r="F11" s="1">
        <f>4974+45+186+822</f>
        <v>6027</v>
      </c>
      <c r="G11" s="1">
        <f>(12708-137)+70+2398+3757</f>
        <v>18796</v>
      </c>
      <c r="H11" s="1">
        <f>(5900-464)+509+(124-65)+1127</f>
        <v>7131</v>
      </c>
      <c r="I11" s="1">
        <f>4484+592+(95-42)+1336</f>
        <v>6465</v>
      </c>
      <c r="J11" s="15">
        <f>(2574-951)+0+0+0</f>
        <v>1623</v>
      </c>
      <c r="K11" s="15">
        <f>(3429-55)+238+0+411</f>
        <v>4023</v>
      </c>
      <c r="L11" s="1">
        <f>2475+1605+0+258</f>
        <v>4338</v>
      </c>
      <c r="M11" s="1">
        <f>SUM(C11:L11)</f>
        <v>75922</v>
      </c>
      <c r="N11" s="11"/>
    </row>
    <row r="13" spans="1:25">
      <c r="A13" s="82" t="s">
        <v>75</v>
      </c>
    </row>
    <row r="14" spans="1:25" ht="30">
      <c r="A14" s="7" t="s">
        <v>17</v>
      </c>
      <c r="B14" s="8"/>
      <c r="C14" s="8" t="s">
        <v>1</v>
      </c>
      <c r="D14" s="8" t="s">
        <v>2</v>
      </c>
      <c r="E14" s="8" t="s">
        <v>3</v>
      </c>
      <c r="F14" s="8" t="s">
        <v>4</v>
      </c>
      <c r="G14" s="8" t="s">
        <v>18</v>
      </c>
      <c r="H14" s="8" t="s">
        <v>6</v>
      </c>
      <c r="I14" s="8" t="s">
        <v>19</v>
      </c>
      <c r="J14" s="8" t="s">
        <v>15</v>
      </c>
      <c r="K14" s="8" t="s">
        <v>16</v>
      </c>
      <c r="L14" s="8" t="s">
        <v>8</v>
      </c>
      <c r="M14" s="8" t="s">
        <v>20</v>
      </c>
      <c r="N14" s="10"/>
    </row>
    <row r="15" spans="1:25">
      <c r="A15" t="s">
        <v>21</v>
      </c>
      <c r="C15" s="9">
        <v>80</v>
      </c>
      <c r="D15" s="9">
        <f>113+4</f>
        <v>117</v>
      </c>
      <c r="E15" s="19">
        <f>241-75</f>
        <v>166</v>
      </c>
      <c r="F15" s="9">
        <f>84+52</f>
        <v>136</v>
      </c>
      <c r="G15" s="9">
        <f>141-2+12</f>
        <v>151</v>
      </c>
      <c r="H15" s="9">
        <f>147-24</f>
        <v>123</v>
      </c>
      <c r="I15" s="9">
        <f>96+(55-12)</f>
        <v>139</v>
      </c>
      <c r="J15" s="19">
        <v>83</v>
      </c>
      <c r="K15" s="19">
        <v>100</v>
      </c>
      <c r="L15" s="9">
        <f>107+12</f>
        <v>119</v>
      </c>
      <c r="M15" s="9">
        <f t="shared" ref="M15:M20" si="2">SUM(C15:L15)</f>
        <v>1214</v>
      </c>
      <c r="O15" s="9"/>
      <c r="P15" s="9"/>
      <c r="Q15" s="19"/>
      <c r="R15" s="9"/>
      <c r="S15" s="9"/>
      <c r="T15" s="9"/>
      <c r="U15" s="9"/>
      <c r="V15" s="19"/>
      <c r="W15" s="19"/>
      <c r="X15" s="9"/>
      <c r="Y15" s="9"/>
    </row>
    <row r="16" spans="1:25">
      <c r="A16" s="8" t="s">
        <v>22</v>
      </c>
      <c r="C16" s="9">
        <v>0</v>
      </c>
      <c r="D16" s="9">
        <f>(107)/2</f>
        <v>53.5</v>
      </c>
      <c r="E16" s="9">
        <v>0</v>
      </c>
      <c r="F16" s="9">
        <f>1/2</f>
        <v>0.5</v>
      </c>
      <c r="G16" s="9">
        <f>1/2</f>
        <v>0.5</v>
      </c>
      <c r="H16" s="9">
        <f>50/2</f>
        <v>25</v>
      </c>
      <c r="I16" s="9">
        <f>19/2</f>
        <v>9.5</v>
      </c>
      <c r="J16" s="19">
        <v>0</v>
      </c>
      <c r="K16" s="19">
        <f>10/2</f>
        <v>5</v>
      </c>
      <c r="L16" s="9">
        <f>44/2</f>
        <v>22</v>
      </c>
      <c r="M16" s="9">
        <f t="shared" si="2"/>
        <v>116</v>
      </c>
      <c r="O16" s="9"/>
      <c r="P16" s="9"/>
      <c r="Q16" s="9"/>
      <c r="R16" s="9"/>
      <c r="S16" s="9"/>
      <c r="T16" s="9"/>
      <c r="U16" s="9"/>
      <c r="V16" s="19"/>
      <c r="W16" s="19"/>
      <c r="X16" s="9"/>
      <c r="Y16" s="9"/>
    </row>
    <row r="17" spans="1:25">
      <c r="A17" t="s">
        <v>23</v>
      </c>
      <c r="C17" s="9">
        <v>3</v>
      </c>
      <c r="D17" s="9">
        <f>4-4</f>
        <v>0</v>
      </c>
      <c r="E17" s="9">
        <v>17</v>
      </c>
      <c r="F17" s="9">
        <v>2</v>
      </c>
      <c r="G17" s="9">
        <v>36</v>
      </c>
      <c r="H17" s="9">
        <v>1</v>
      </c>
      <c r="I17" s="9">
        <f>9-3</f>
        <v>6</v>
      </c>
      <c r="J17" s="19">
        <v>2</v>
      </c>
      <c r="K17" s="19">
        <f>1</f>
        <v>1</v>
      </c>
      <c r="L17" s="9">
        <v>0</v>
      </c>
      <c r="M17" s="9">
        <f t="shared" si="2"/>
        <v>68</v>
      </c>
      <c r="O17" s="9"/>
      <c r="P17" s="9"/>
      <c r="Q17" s="9"/>
      <c r="R17" s="9"/>
      <c r="S17" s="9"/>
      <c r="T17" s="9"/>
      <c r="U17" s="9"/>
      <c r="V17" s="19"/>
      <c r="W17" s="19"/>
      <c r="X17" s="9"/>
      <c r="Y17" s="9"/>
    </row>
    <row r="18" spans="1:25">
      <c r="A18" t="s">
        <v>24</v>
      </c>
      <c r="C18" s="9">
        <v>8</v>
      </c>
      <c r="D18" s="9">
        <v>34</v>
      </c>
      <c r="E18" s="9">
        <v>100</v>
      </c>
      <c r="F18" s="9">
        <v>13</v>
      </c>
      <c r="G18" s="9">
        <v>59</v>
      </c>
      <c r="H18" s="9">
        <v>45</v>
      </c>
      <c r="I18" s="9">
        <v>60</v>
      </c>
      <c r="J18" s="19">
        <v>4</v>
      </c>
      <c r="K18" s="19">
        <v>15</v>
      </c>
      <c r="L18" s="9">
        <v>12</v>
      </c>
      <c r="M18" s="9">
        <f t="shared" si="2"/>
        <v>350</v>
      </c>
      <c r="O18" s="9"/>
      <c r="P18" s="9"/>
      <c r="Q18" s="9"/>
      <c r="R18" s="9"/>
      <c r="S18" s="9"/>
      <c r="T18" s="9"/>
      <c r="U18" s="9"/>
      <c r="V18" s="19"/>
      <c r="W18" s="19"/>
      <c r="X18" s="9"/>
      <c r="Y18" s="9"/>
    </row>
    <row r="19" spans="1:25">
      <c r="A19" t="s">
        <v>25</v>
      </c>
      <c r="C19" s="9">
        <f>1*24</f>
        <v>24</v>
      </c>
      <c r="D19" s="9">
        <f>1*24</f>
        <v>24</v>
      </c>
      <c r="E19" s="9">
        <f>3*24</f>
        <v>72</v>
      </c>
      <c r="F19" s="9">
        <f>1*24</f>
        <v>24</v>
      </c>
      <c r="G19" s="9">
        <f>2*24</f>
        <v>48</v>
      </c>
      <c r="H19" s="9">
        <f>2*24</f>
        <v>48</v>
      </c>
      <c r="I19" s="9">
        <f>1*24</f>
        <v>24</v>
      </c>
      <c r="J19" s="19">
        <v>0</v>
      </c>
      <c r="K19" s="19">
        <v>12</v>
      </c>
      <c r="L19" s="9">
        <f>1*24</f>
        <v>24</v>
      </c>
      <c r="M19" s="9">
        <f t="shared" si="2"/>
        <v>300</v>
      </c>
      <c r="O19" s="9"/>
      <c r="P19" s="9"/>
      <c r="Q19" s="9"/>
      <c r="R19" s="9"/>
      <c r="S19" s="9"/>
      <c r="T19" s="9"/>
      <c r="U19" s="9"/>
      <c r="V19" s="19"/>
      <c r="W19" s="19"/>
      <c r="X19" s="9"/>
      <c r="Y19" s="9"/>
    </row>
    <row r="20" spans="1:25">
      <c r="A20" t="s">
        <v>26</v>
      </c>
      <c r="C20" s="9">
        <v>0</v>
      </c>
      <c r="D20" s="9">
        <v>0</v>
      </c>
      <c r="E20" s="9">
        <f>1*8</f>
        <v>8</v>
      </c>
      <c r="F20" s="9">
        <v>0</v>
      </c>
      <c r="G20" s="9">
        <f>1*8</f>
        <v>8</v>
      </c>
      <c r="H20" s="9">
        <v>0</v>
      </c>
      <c r="I20" s="9">
        <v>0</v>
      </c>
      <c r="J20" s="19">
        <v>0</v>
      </c>
      <c r="K20" s="19">
        <v>0</v>
      </c>
      <c r="L20" s="9">
        <v>8</v>
      </c>
      <c r="M20" s="9">
        <f t="shared" si="2"/>
        <v>24</v>
      </c>
      <c r="O20" s="9"/>
      <c r="P20" s="9"/>
      <c r="Q20" s="9"/>
      <c r="R20" s="9"/>
      <c r="S20" s="9"/>
      <c r="T20" s="9"/>
      <c r="U20" s="9"/>
      <c r="V20" s="19"/>
      <c r="W20" s="19"/>
      <c r="X20" s="9"/>
      <c r="Y20" s="9"/>
    </row>
    <row r="21" spans="1:25">
      <c r="A21" t="s">
        <v>0</v>
      </c>
      <c r="C21" s="9">
        <f t="shared" ref="C21:L21" si="3">SUM(C15:C20)</f>
        <v>115</v>
      </c>
      <c r="D21" s="9">
        <f t="shared" si="3"/>
        <v>228.5</v>
      </c>
      <c r="E21" s="9">
        <f t="shared" si="3"/>
        <v>363</v>
      </c>
      <c r="F21" s="9">
        <f t="shared" si="3"/>
        <v>175.5</v>
      </c>
      <c r="G21" s="9">
        <f t="shared" si="3"/>
        <v>302.5</v>
      </c>
      <c r="H21" s="9">
        <f t="shared" si="3"/>
        <v>242</v>
      </c>
      <c r="I21" s="9">
        <f t="shared" si="3"/>
        <v>238.5</v>
      </c>
      <c r="J21" s="19">
        <f t="shared" si="3"/>
        <v>89</v>
      </c>
      <c r="K21" s="19">
        <f t="shared" si="3"/>
        <v>133</v>
      </c>
      <c r="L21" s="9">
        <f t="shared" si="3"/>
        <v>185</v>
      </c>
      <c r="M21" s="9">
        <f>SUM(M15:M20)</f>
        <v>2072</v>
      </c>
      <c r="O21" s="9"/>
      <c r="P21" s="9"/>
      <c r="Q21" s="9"/>
      <c r="R21" s="9"/>
      <c r="S21" s="9"/>
      <c r="T21" s="9"/>
      <c r="U21" s="9"/>
      <c r="V21" s="19"/>
      <c r="W21" s="19"/>
      <c r="X21" s="9"/>
      <c r="Y21" s="9"/>
    </row>
    <row r="22" spans="1:25">
      <c r="C22" s="9"/>
      <c r="D22" s="9"/>
      <c r="E22" s="9"/>
      <c r="F22" s="9"/>
      <c r="G22" s="9"/>
      <c r="H22" s="9"/>
      <c r="I22" s="9"/>
      <c r="J22" s="19"/>
      <c r="K22" s="19"/>
      <c r="L22" s="9"/>
      <c r="M22" s="9"/>
    </row>
    <row r="23" spans="1:25">
      <c r="A23" t="s">
        <v>29</v>
      </c>
      <c r="C23" s="1">
        <f>(3089-0)+0+168+392</f>
        <v>3649</v>
      </c>
      <c r="D23" s="1">
        <f>5041+586+(337-337)+1229</f>
        <v>6856</v>
      </c>
      <c r="E23" s="1">
        <f>(13483-732)+0+1253+4686</f>
        <v>18690</v>
      </c>
      <c r="F23" s="1">
        <f>4799+42+206+221</f>
        <v>5268</v>
      </c>
      <c r="G23" s="1">
        <f>(13348-21)+62+2470+3117</f>
        <v>18976</v>
      </c>
      <c r="H23" s="1">
        <f>(6164-359)+615+74+1440</f>
        <v>7934</v>
      </c>
      <c r="I23" s="1">
        <f>4970+502+(367-87)+1572</f>
        <v>7324</v>
      </c>
      <c r="J23" s="15">
        <f>1472+0+107+131</f>
        <v>1710</v>
      </c>
      <c r="K23" s="15">
        <f>3070+197+106+493</f>
        <v>3866</v>
      </c>
      <c r="L23" s="1">
        <f>2885+1321+0+693</f>
        <v>4899</v>
      </c>
      <c r="M23" s="1">
        <f>SUM(C23:L23)</f>
        <v>79172</v>
      </c>
      <c r="N23" s="11"/>
    </row>
    <row r="24" spans="1:25">
      <c r="J24" s="49"/>
      <c r="K24" s="49"/>
      <c r="M24" s="9"/>
    </row>
    <row r="25" spans="1:25">
      <c r="A25" s="108" t="s">
        <v>99</v>
      </c>
    </row>
    <row r="26" spans="1:25" ht="30">
      <c r="A26" s="7" t="s">
        <v>17</v>
      </c>
      <c r="B26" s="8"/>
      <c r="C26" s="8" t="s">
        <v>1</v>
      </c>
      <c r="D26" s="8" t="s">
        <v>2</v>
      </c>
      <c r="E26" s="8" t="s">
        <v>3</v>
      </c>
      <c r="F26" s="8" t="s">
        <v>4</v>
      </c>
      <c r="G26" s="8" t="s">
        <v>18</v>
      </c>
      <c r="H26" s="8" t="s">
        <v>6</v>
      </c>
      <c r="I26" s="8" t="s">
        <v>19</v>
      </c>
      <c r="J26" s="8" t="s">
        <v>15</v>
      </c>
      <c r="K26" s="8" t="s">
        <v>16</v>
      </c>
      <c r="L26" s="8" t="s">
        <v>8</v>
      </c>
      <c r="M26" s="8" t="s">
        <v>20</v>
      </c>
      <c r="N26" s="10"/>
    </row>
    <row r="27" spans="1:25">
      <c r="A27" t="s">
        <v>21</v>
      </c>
      <c r="C27" s="9">
        <f t="shared" ref="C27:H27" si="4">(C3+C3+C15)/3</f>
        <v>75.333333333333329</v>
      </c>
      <c r="D27" s="9">
        <f t="shared" si="4"/>
        <v>111</v>
      </c>
      <c r="E27" s="19">
        <f t="shared" si="4"/>
        <v>154.66666666666666</v>
      </c>
      <c r="F27" s="9">
        <f t="shared" si="4"/>
        <v>138.66666666666666</v>
      </c>
      <c r="G27" s="9">
        <f t="shared" si="4"/>
        <v>145</v>
      </c>
      <c r="H27" s="9">
        <f t="shared" si="4"/>
        <v>123.66666666666667</v>
      </c>
      <c r="I27" s="9">
        <f>(I3+I3+I15)/3</f>
        <v>139.66666666666666</v>
      </c>
      <c r="J27" s="19">
        <f>(J3+J3+J15)/3</f>
        <v>85</v>
      </c>
      <c r="K27" s="19">
        <f>(K3+K3+K15)/3</f>
        <v>106</v>
      </c>
      <c r="L27" s="9">
        <f>(L3+L3+L15)/3</f>
        <v>79.666666666666671</v>
      </c>
      <c r="M27" s="9">
        <f t="shared" ref="M27:M32" si="5">SUM(C27:L27)</f>
        <v>1158.6666666666667</v>
      </c>
    </row>
    <row r="28" spans="1:25">
      <c r="A28" s="8" t="s">
        <v>22</v>
      </c>
      <c r="C28" s="9">
        <f t="shared" ref="C28:L28" si="6">(C4+C4+C16)/3</f>
        <v>0</v>
      </c>
      <c r="D28" s="9">
        <f t="shared" si="6"/>
        <v>52.166666666666664</v>
      </c>
      <c r="E28" s="19">
        <f t="shared" si="6"/>
        <v>0</v>
      </c>
      <c r="F28" s="9">
        <f t="shared" si="6"/>
        <v>0.5</v>
      </c>
      <c r="G28" s="9">
        <f t="shared" si="6"/>
        <v>0.83333333333333337</v>
      </c>
      <c r="H28" s="9">
        <f t="shared" si="6"/>
        <v>24</v>
      </c>
      <c r="I28" s="9">
        <f t="shared" si="6"/>
        <v>10.166666666666666</v>
      </c>
      <c r="J28" s="19">
        <f t="shared" si="6"/>
        <v>0</v>
      </c>
      <c r="K28" s="19">
        <f t="shared" si="6"/>
        <v>5.666666666666667</v>
      </c>
      <c r="L28" s="9">
        <f t="shared" si="6"/>
        <v>35</v>
      </c>
      <c r="M28" s="9">
        <f t="shared" si="5"/>
        <v>128.33333333333334</v>
      </c>
    </row>
    <row r="29" spans="1:25">
      <c r="A29" t="s">
        <v>23</v>
      </c>
      <c r="C29" s="9">
        <f t="shared" ref="C29:L29" si="7">(C5+C5+C17)/3</f>
        <v>3.6666666666666665</v>
      </c>
      <c r="D29" s="9">
        <f t="shared" si="7"/>
        <v>2</v>
      </c>
      <c r="E29" s="19">
        <f t="shared" si="7"/>
        <v>24.333333333333332</v>
      </c>
      <c r="F29" s="9">
        <f t="shared" si="7"/>
        <v>2</v>
      </c>
      <c r="G29" s="9">
        <f t="shared" si="7"/>
        <v>36.666666666666664</v>
      </c>
      <c r="H29" s="9">
        <f t="shared" si="7"/>
        <v>1.6666666666666667</v>
      </c>
      <c r="I29" s="9">
        <f t="shared" si="7"/>
        <v>3.3333333333333335</v>
      </c>
      <c r="J29" s="19">
        <f t="shared" si="7"/>
        <v>3.3333333333333335</v>
      </c>
      <c r="K29" s="19">
        <f t="shared" si="7"/>
        <v>0.33333333333333331</v>
      </c>
      <c r="L29" s="9">
        <f t="shared" si="7"/>
        <v>0</v>
      </c>
      <c r="M29" s="9">
        <f t="shared" si="5"/>
        <v>77.333333333333314</v>
      </c>
    </row>
    <row r="30" spans="1:25">
      <c r="A30" t="s">
        <v>24</v>
      </c>
      <c r="C30" s="9">
        <f t="shared" ref="C30:L30" si="8">(C6+C6+C18)/3</f>
        <v>13.333333333333334</v>
      </c>
      <c r="D30" s="9">
        <f t="shared" si="8"/>
        <v>36.666666666666664</v>
      </c>
      <c r="E30" s="19">
        <f t="shared" si="8"/>
        <v>100.66666666666667</v>
      </c>
      <c r="F30" s="9">
        <f t="shared" si="8"/>
        <v>19</v>
      </c>
      <c r="G30" s="9">
        <f t="shared" si="8"/>
        <v>65</v>
      </c>
      <c r="H30" s="9">
        <f t="shared" si="8"/>
        <v>35.666666666666664</v>
      </c>
      <c r="I30" s="9">
        <f t="shared" si="8"/>
        <v>57.333333333333336</v>
      </c>
      <c r="J30" s="19">
        <f t="shared" si="8"/>
        <v>6</v>
      </c>
      <c r="K30" s="19">
        <f t="shared" si="8"/>
        <v>13.666666666666666</v>
      </c>
      <c r="L30" s="9">
        <f t="shared" si="8"/>
        <v>10</v>
      </c>
      <c r="M30" s="9">
        <f t="shared" si="5"/>
        <v>357.33333333333337</v>
      </c>
    </row>
    <row r="31" spans="1:25">
      <c r="A31" t="s">
        <v>25</v>
      </c>
      <c r="C31" s="9">
        <f t="shared" ref="C31:L31" si="9">(C7+C7+C19)/3</f>
        <v>24</v>
      </c>
      <c r="D31" s="9">
        <f t="shared" si="9"/>
        <v>40</v>
      </c>
      <c r="E31" s="19">
        <f t="shared" si="9"/>
        <v>56</v>
      </c>
      <c r="F31" s="9">
        <f t="shared" si="9"/>
        <v>24</v>
      </c>
      <c r="G31" s="9">
        <f t="shared" si="9"/>
        <v>48</v>
      </c>
      <c r="H31" s="9">
        <f t="shared" si="9"/>
        <v>32</v>
      </c>
      <c r="I31" s="9">
        <f t="shared" si="9"/>
        <v>40</v>
      </c>
      <c r="J31" s="19">
        <f t="shared" si="9"/>
        <v>0</v>
      </c>
      <c r="K31" s="19">
        <f t="shared" si="9"/>
        <v>20</v>
      </c>
      <c r="L31" s="9">
        <f t="shared" si="9"/>
        <v>24</v>
      </c>
      <c r="M31" s="9">
        <f t="shared" si="5"/>
        <v>308</v>
      </c>
    </row>
    <row r="32" spans="1:25">
      <c r="A32" t="s">
        <v>26</v>
      </c>
      <c r="C32" s="9">
        <f t="shared" ref="C32:L32" si="10">(C8+C8+C20)/3</f>
        <v>0</v>
      </c>
      <c r="D32" s="9">
        <f t="shared" si="10"/>
        <v>5.333333333333333</v>
      </c>
      <c r="E32" s="19">
        <f t="shared" si="10"/>
        <v>13.333333333333334</v>
      </c>
      <c r="F32" s="9">
        <f t="shared" si="10"/>
        <v>0</v>
      </c>
      <c r="G32" s="9">
        <f t="shared" si="10"/>
        <v>8</v>
      </c>
      <c r="H32" s="9">
        <f t="shared" si="10"/>
        <v>5.333333333333333</v>
      </c>
      <c r="I32" s="9">
        <f t="shared" si="10"/>
        <v>0</v>
      </c>
      <c r="J32" s="19">
        <f t="shared" si="10"/>
        <v>0</v>
      </c>
      <c r="K32" s="19">
        <f t="shared" si="10"/>
        <v>0</v>
      </c>
      <c r="L32" s="9">
        <f t="shared" si="10"/>
        <v>2.6666666666666665</v>
      </c>
      <c r="M32" s="9">
        <f t="shared" si="5"/>
        <v>34.666666666666664</v>
      </c>
    </row>
    <row r="33" spans="1:15" s="1" customFormat="1">
      <c r="A33" t="s">
        <v>0</v>
      </c>
      <c r="B33"/>
      <c r="C33" s="9">
        <f t="shared" ref="C33:L33" si="11">SUM(C27:C32)</f>
        <v>116.33333333333333</v>
      </c>
      <c r="D33" s="9">
        <f t="shared" si="11"/>
        <v>247.16666666666666</v>
      </c>
      <c r="E33" s="9">
        <f t="shared" si="11"/>
        <v>349</v>
      </c>
      <c r="F33" s="9">
        <f t="shared" si="11"/>
        <v>184.16666666666666</v>
      </c>
      <c r="G33" s="9">
        <f t="shared" si="11"/>
        <v>303.5</v>
      </c>
      <c r="H33" s="9">
        <f t="shared" si="11"/>
        <v>222.33333333333334</v>
      </c>
      <c r="I33" s="9">
        <f t="shared" si="11"/>
        <v>250.5</v>
      </c>
      <c r="J33" s="19">
        <f t="shared" si="11"/>
        <v>94.333333333333329</v>
      </c>
      <c r="K33" s="19">
        <f t="shared" si="11"/>
        <v>145.66666666666669</v>
      </c>
      <c r="L33" s="9">
        <f t="shared" si="11"/>
        <v>151.33333333333334</v>
      </c>
      <c r="M33" s="9">
        <f>SUM(M27:M32)</f>
        <v>2064.333333333333</v>
      </c>
      <c r="O33">
        <f>(M9+M9+M21)/3</f>
        <v>2064.3333333333335</v>
      </c>
    </row>
    <row r="34" spans="1:15">
      <c r="D34" s="9"/>
      <c r="E34" s="9"/>
      <c r="F34" s="9"/>
      <c r="G34" s="9"/>
      <c r="H34" s="9"/>
      <c r="I34" s="9"/>
      <c r="J34" s="49"/>
      <c r="K34" s="49"/>
      <c r="M34" s="9"/>
    </row>
    <row r="35" spans="1:15">
      <c r="A35" t="s">
        <v>29</v>
      </c>
      <c r="C35" s="1">
        <f t="shared" ref="C35:L35" si="12">(C11+C11+C23)/3</f>
        <v>3011.6666666666665</v>
      </c>
      <c r="D35" s="1">
        <f t="shared" si="12"/>
        <v>7124</v>
      </c>
      <c r="E35" s="1">
        <f t="shared" si="12"/>
        <v>17942</v>
      </c>
      <c r="F35" s="1">
        <f t="shared" si="12"/>
        <v>5774</v>
      </c>
      <c r="G35" s="1">
        <f t="shared" si="12"/>
        <v>18856</v>
      </c>
      <c r="H35" s="1">
        <f t="shared" si="12"/>
        <v>7398.666666666667</v>
      </c>
      <c r="I35" s="1">
        <f t="shared" si="12"/>
        <v>6751.333333333333</v>
      </c>
      <c r="J35" s="15">
        <f t="shared" si="12"/>
        <v>1652</v>
      </c>
      <c r="K35" s="15">
        <f t="shared" si="12"/>
        <v>3970.6666666666665</v>
      </c>
      <c r="L35" s="1">
        <f t="shared" si="12"/>
        <v>4525</v>
      </c>
      <c r="M35" s="1">
        <f>SUM(C35:L35)</f>
        <v>77005.333333333328</v>
      </c>
      <c r="N35" s="11"/>
    </row>
    <row r="36" spans="1:15">
      <c r="J36" s="49"/>
      <c r="K36" s="49"/>
    </row>
    <row r="37" spans="1:15">
      <c r="A37" t="s">
        <v>121</v>
      </c>
      <c r="J37" s="49"/>
      <c r="K37" s="49"/>
    </row>
    <row r="38" spans="1:15">
      <c r="A38" t="s">
        <v>122</v>
      </c>
      <c r="J38" s="49"/>
      <c r="K38" s="49"/>
    </row>
    <row r="39" spans="1:15">
      <c r="A39" t="s">
        <v>102</v>
      </c>
    </row>
    <row r="40" spans="1:15">
      <c r="A40" s="150" t="s">
        <v>127</v>
      </c>
    </row>
    <row r="41" spans="1:15">
      <c r="A41" t="s">
        <v>101</v>
      </c>
    </row>
  </sheetData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2" zoomScaleNormal="100" workbookViewId="0">
      <selection activeCell="A19" sqref="A19:F29"/>
    </sheetView>
  </sheetViews>
  <sheetFormatPr defaultRowHeight="15"/>
  <cols>
    <col min="5" max="5" width="5.7109375" customWidth="1"/>
    <col min="6" max="6" width="11.7109375" customWidth="1"/>
    <col min="7" max="7" width="14.42578125" customWidth="1"/>
    <col min="8" max="8" width="4.7109375" customWidth="1"/>
    <col min="9" max="9" width="11.28515625" customWidth="1"/>
    <col min="10" max="10" width="12" customWidth="1"/>
    <col min="11" max="11" width="11.7109375" customWidth="1"/>
    <col min="12" max="12" width="14.7109375" customWidth="1"/>
    <col min="13" max="13" width="13.28515625" customWidth="1"/>
    <col min="14" max="14" width="12" customWidth="1"/>
    <col min="15" max="15" width="11.5703125" customWidth="1"/>
  </cols>
  <sheetData>
    <row r="1" spans="1:21" ht="46.5">
      <c r="A1" s="129" t="s">
        <v>31</v>
      </c>
      <c r="B1" s="130"/>
      <c r="C1" s="130"/>
      <c r="D1" s="130"/>
      <c r="E1" s="130"/>
      <c r="F1" s="131"/>
      <c r="R1" s="120"/>
    </row>
    <row r="2" spans="1:21">
      <c r="N2" s="49"/>
      <c r="R2" s="120"/>
    </row>
    <row r="3" spans="1:21" ht="18.75">
      <c r="A3" s="122" t="s">
        <v>31</v>
      </c>
      <c r="B3" s="122"/>
      <c r="C3" s="122"/>
      <c r="D3" s="122"/>
      <c r="E3" s="122"/>
      <c r="G3" s="122"/>
      <c r="H3" s="122"/>
      <c r="I3" s="122"/>
      <c r="K3" s="122"/>
      <c r="L3" s="122"/>
      <c r="N3" s="122"/>
      <c r="O3" s="122"/>
      <c r="P3" s="122"/>
      <c r="R3" s="120"/>
    </row>
    <row r="4" spans="1:21" ht="18.75">
      <c r="A4" s="122"/>
      <c r="B4" s="122"/>
      <c r="C4" s="122"/>
      <c r="D4" s="122"/>
      <c r="E4" s="122"/>
      <c r="F4" s="123">
        <v>2019</v>
      </c>
      <c r="G4" s="122"/>
      <c r="H4" s="122"/>
      <c r="I4" s="124">
        <v>2018</v>
      </c>
      <c r="K4" s="167" t="s">
        <v>92</v>
      </c>
      <c r="L4" s="167"/>
      <c r="M4" s="122"/>
      <c r="N4" s="122"/>
      <c r="O4" s="122"/>
      <c r="Q4" s="120"/>
    </row>
    <row r="5" spans="1:21" s="8" customFormat="1" ht="59.25" customHeight="1">
      <c r="A5" s="125"/>
      <c r="B5" s="125"/>
      <c r="C5" s="125"/>
      <c r="D5" s="125"/>
      <c r="E5" s="166" t="s">
        <v>108</v>
      </c>
      <c r="F5" s="166"/>
      <c r="G5" s="125"/>
      <c r="H5" s="166" t="s">
        <v>108</v>
      </c>
      <c r="I5" s="166"/>
      <c r="J5" s="125"/>
      <c r="K5" s="125"/>
      <c r="L5" s="135" t="s">
        <v>108</v>
      </c>
      <c r="M5" s="125"/>
      <c r="N5" s="125"/>
      <c r="P5" s="121"/>
      <c r="Q5" s="76"/>
      <c r="R5" s="76"/>
      <c r="S5" s="76"/>
      <c r="T5" s="76"/>
    </row>
    <row r="6" spans="1:21" ht="18.75">
      <c r="A6" s="122" t="s">
        <v>1</v>
      </c>
      <c r="B6" s="122"/>
      <c r="C6" s="122"/>
      <c r="D6" s="122"/>
      <c r="E6" s="122"/>
      <c r="F6" s="122">
        <f>30+11+554</f>
        <v>595</v>
      </c>
      <c r="G6" s="126"/>
      <c r="H6" s="122"/>
      <c r="I6" s="122">
        <f>0+4+454</f>
        <v>458</v>
      </c>
      <c r="J6" s="126"/>
      <c r="K6" s="122"/>
      <c r="L6" s="126">
        <f t="shared" ref="L6:L15" si="0">(F6+F6+I6)/3</f>
        <v>549.33333333333337</v>
      </c>
      <c r="M6" s="126"/>
      <c r="N6" s="122"/>
      <c r="P6" s="83"/>
      <c r="Q6" s="83"/>
      <c r="R6" s="11"/>
      <c r="S6" s="11"/>
      <c r="T6" s="11"/>
      <c r="U6" s="56"/>
    </row>
    <row r="7" spans="1:21" ht="18.75">
      <c r="A7" s="122" t="s">
        <v>2</v>
      </c>
      <c r="B7" s="122"/>
      <c r="C7" s="122"/>
      <c r="D7" s="122"/>
      <c r="E7" s="122"/>
      <c r="F7" s="122">
        <f>0+13+713-58</f>
        <v>668</v>
      </c>
      <c r="G7" s="126"/>
      <c r="H7" s="122"/>
      <c r="I7" s="122">
        <f>0+14+592-48</f>
        <v>558</v>
      </c>
      <c r="J7" s="126"/>
      <c r="K7" s="122"/>
      <c r="L7" s="126">
        <f t="shared" si="0"/>
        <v>631.33333333333337</v>
      </c>
      <c r="M7" s="126"/>
      <c r="N7" s="122"/>
      <c r="P7" s="83"/>
      <c r="Q7" s="83"/>
      <c r="R7" s="11"/>
      <c r="S7" s="11"/>
      <c r="T7" s="11"/>
      <c r="U7" s="56"/>
    </row>
    <row r="8" spans="1:21" ht="18.75">
      <c r="A8" s="122" t="s">
        <v>3</v>
      </c>
      <c r="B8" s="122"/>
      <c r="C8" s="122"/>
      <c r="D8" s="122"/>
      <c r="E8" s="122"/>
      <c r="F8" s="122">
        <f>77+19+274-67</f>
        <v>303</v>
      </c>
      <c r="G8" s="126"/>
      <c r="H8" s="122"/>
      <c r="I8" s="122">
        <f>75+12+169-39</f>
        <v>217</v>
      </c>
      <c r="J8" s="126"/>
      <c r="K8" s="122"/>
      <c r="L8" s="126">
        <f t="shared" si="0"/>
        <v>274.33333333333331</v>
      </c>
      <c r="M8" s="126"/>
      <c r="N8" s="122"/>
      <c r="P8" s="83"/>
      <c r="Q8" s="83"/>
      <c r="R8" s="11"/>
      <c r="S8" s="11"/>
      <c r="T8" s="11"/>
      <c r="U8" s="56"/>
    </row>
    <row r="9" spans="1:21" ht="18.75">
      <c r="A9" s="122" t="s">
        <v>4</v>
      </c>
      <c r="B9" s="122"/>
      <c r="C9" s="122"/>
      <c r="D9" s="122"/>
      <c r="E9" s="122"/>
      <c r="F9" s="122">
        <f>0+9+457-3</f>
        <v>463</v>
      </c>
      <c r="G9" s="126"/>
      <c r="H9" s="122"/>
      <c r="I9" s="122">
        <f>0+9+410-1</f>
        <v>418</v>
      </c>
      <c r="J9" s="126"/>
      <c r="K9" s="122"/>
      <c r="L9" s="126">
        <f t="shared" si="0"/>
        <v>448</v>
      </c>
      <c r="M9" s="126"/>
      <c r="N9" s="122"/>
      <c r="P9" s="83"/>
      <c r="Q9" s="83"/>
      <c r="R9" s="11"/>
      <c r="S9" s="11"/>
      <c r="T9" s="11"/>
      <c r="U9" s="56"/>
    </row>
    <row r="10" spans="1:21" ht="18.75">
      <c r="A10" s="122" t="s">
        <v>5</v>
      </c>
      <c r="B10" s="122"/>
      <c r="C10" s="122"/>
      <c r="D10" s="122"/>
      <c r="E10" s="122"/>
      <c r="F10" s="122">
        <f>4+20+308</f>
        <v>332</v>
      </c>
      <c r="G10" s="126"/>
      <c r="H10" s="122"/>
      <c r="I10" s="122">
        <f>2+25+369-1</f>
        <v>395</v>
      </c>
      <c r="J10" s="126"/>
      <c r="K10" s="122"/>
      <c r="L10" s="126">
        <f t="shared" si="0"/>
        <v>353</v>
      </c>
      <c r="M10" s="126"/>
      <c r="N10" s="122"/>
      <c r="P10" s="83"/>
      <c r="Q10" s="83"/>
      <c r="R10" s="11"/>
      <c r="S10" s="11"/>
      <c r="T10" s="11"/>
      <c r="U10" s="56"/>
    </row>
    <row r="11" spans="1:21" ht="18.75">
      <c r="A11" s="122" t="s">
        <v>6</v>
      </c>
      <c r="B11" s="122"/>
      <c r="C11" s="122"/>
      <c r="D11" s="122"/>
      <c r="E11" s="122"/>
      <c r="F11" s="122">
        <f>28+11+281-36+10</f>
        <v>294</v>
      </c>
      <c r="G11" s="126"/>
      <c r="H11" s="122"/>
      <c r="I11" s="122">
        <f>24+16+233-36+14+2+10</f>
        <v>263</v>
      </c>
      <c r="J11" s="126"/>
      <c r="K11" s="122"/>
      <c r="L11" s="126">
        <f t="shared" si="0"/>
        <v>283.66666666666669</v>
      </c>
      <c r="M11" s="126"/>
      <c r="N11" s="122"/>
      <c r="P11" s="83"/>
      <c r="Q11" s="83"/>
      <c r="R11" s="11"/>
      <c r="S11" s="11"/>
      <c r="T11" s="11"/>
      <c r="U11" s="56"/>
    </row>
    <row r="12" spans="1:21" ht="18.75">
      <c r="A12" s="122" t="s">
        <v>7</v>
      </c>
      <c r="B12" s="122"/>
      <c r="C12" s="122"/>
      <c r="D12" s="122"/>
      <c r="E12" s="122"/>
      <c r="F12" s="122">
        <f>0+9+357-51-64+28+1</f>
        <v>280</v>
      </c>
      <c r="G12" s="126"/>
      <c r="H12" s="122"/>
      <c r="I12" s="122">
        <f>0+13+388-54-36+24+1</f>
        <v>336</v>
      </c>
      <c r="J12" s="126"/>
      <c r="K12" s="122"/>
      <c r="L12" s="126">
        <f t="shared" si="0"/>
        <v>298.66666666666669</v>
      </c>
      <c r="M12" s="126"/>
      <c r="N12" s="122"/>
      <c r="P12" s="83"/>
      <c r="Q12" s="83"/>
      <c r="R12" s="11"/>
      <c r="S12" s="11"/>
      <c r="T12" s="11"/>
      <c r="U12" s="56"/>
    </row>
    <row r="13" spans="1:21" ht="18.75">
      <c r="A13" s="122" t="s">
        <v>15</v>
      </c>
      <c r="B13" s="122"/>
      <c r="C13" s="122"/>
      <c r="D13" s="122"/>
      <c r="E13" s="122"/>
      <c r="F13" s="122">
        <f>72+9+126+6</f>
        <v>213</v>
      </c>
      <c r="G13" s="126"/>
      <c r="H13" s="122"/>
      <c r="I13" s="122">
        <f>0+10+181</f>
        <v>191</v>
      </c>
      <c r="J13" s="126"/>
      <c r="K13" s="122"/>
      <c r="L13" s="126">
        <f t="shared" si="0"/>
        <v>205.66666666666666</v>
      </c>
      <c r="M13" s="126"/>
      <c r="N13" s="122"/>
      <c r="P13" s="83"/>
      <c r="Q13" s="83"/>
      <c r="R13" s="11"/>
      <c r="S13" s="11"/>
      <c r="T13" s="11"/>
      <c r="U13" s="56"/>
    </row>
    <row r="14" spans="1:21" ht="18.75">
      <c r="A14" s="122" t="s">
        <v>16</v>
      </c>
      <c r="B14" s="122"/>
      <c r="C14" s="122"/>
      <c r="D14" s="122"/>
      <c r="E14" s="122"/>
      <c r="F14" s="122">
        <f>2+11+375-46-36</f>
        <v>306</v>
      </c>
      <c r="G14" s="126"/>
      <c r="H14" s="122"/>
      <c r="I14" s="122">
        <f>0+12+340-56-25</f>
        <v>271</v>
      </c>
      <c r="J14" s="126"/>
      <c r="K14" s="122"/>
      <c r="L14" s="126">
        <f t="shared" si="0"/>
        <v>294.33333333333331</v>
      </c>
      <c r="M14" s="126"/>
      <c r="N14" s="122"/>
      <c r="P14" s="83"/>
      <c r="Q14" s="83"/>
      <c r="R14" s="11"/>
      <c r="S14" s="11"/>
      <c r="T14" s="11"/>
      <c r="U14" s="56"/>
    </row>
    <row r="15" spans="1:21" ht="18.75">
      <c r="A15" s="122" t="s">
        <v>8</v>
      </c>
      <c r="B15" s="122"/>
      <c r="C15" s="122"/>
      <c r="D15" s="122"/>
      <c r="E15" s="122"/>
      <c r="F15" s="122">
        <f>0+12+415</f>
        <v>427</v>
      </c>
      <c r="G15" s="126"/>
      <c r="H15" s="122"/>
      <c r="I15" s="122">
        <f>0+9+511-250+107+26+30+35</f>
        <v>468</v>
      </c>
      <c r="J15" s="126"/>
      <c r="K15" s="122"/>
      <c r="L15" s="126">
        <f t="shared" si="0"/>
        <v>440.66666666666669</v>
      </c>
      <c r="M15" s="126"/>
      <c r="N15" s="122"/>
      <c r="P15" s="83"/>
      <c r="Q15" s="83"/>
      <c r="R15" s="11"/>
      <c r="S15" s="11"/>
      <c r="T15" s="11"/>
      <c r="U15" s="56"/>
    </row>
    <row r="16" spans="1:21" s="1" customFormat="1" ht="18.75">
      <c r="A16" s="126" t="s">
        <v>0</v>
      </c>
      <c r="B16" s="126"/>
      <c r="C16" s="126"/>
      <c r="D16" s="126"/>
      <c r="E16" s="126"/>
      <c r="F16" s="126">
        <f>SUM(F6:F15)</f>
        <v>3881</v>
      </c>
      <c r="G16" s="126"/>
      <c r="H16" s="126"/>
      <c r="I16" s="126">
        <f>SUM(I6:I15)</f>
        <v>3575</v>
      </c>
      <c r="J16" s="126"/>
      <c r="K16" s="126"/>
      <c r="L16" s="126">
        <f>SUM(L6:L15)</f>
        <v>3778.9999999999995</v>
      </c>
      <c r="M16" s="126"/>
      <c r="N16" s="126"/>
      <c r="P16" s="136"/>
      <c r="Q16" s="136"/>
    </row>
    <row r="17" spans="1:16" ht="18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8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ht="19.5" customHeight="1">
      <c r="A19" s="122" t="s">
        <v>27</v>
      </c>
      <c r="B19" s="122"/>
      <c r="C19" s="122"/>
      <c r="D19" s="122"/>
      <c r="E19" s="122"/>
      <c r="F19" s="122"/>
      <c r="G19" s="122"/>
      <c r="H19" s="122"/>
      <c r="I19" s="122"/>
      <c r="J19" s="128"/>
      <c r="K19" s="128"/>
      <c r="L19" s="128"/>
      <c r="M19" s="128"/>
      <c r="N19" s="122"/>
      <c r="O19" s="122"/>
      <c r="P19" s="122"/>
    </row>
    <row r="20" spans="1:16" ht="19.5" customHeight="1">
      <c r="A20" s="122" t="s">
        <v>104</v>
      </c>
      <c r="B20" s="122"/>
      <c r="C20" s="122"/>
      <c r="D20" s="122"/>
      <c r="E20" s="122"/>
      <c r="F20" s="122"/>
      <c r="G20" s="122"/>
      <c r="H20" s="122"/>
      <c r="I20" s="122"/>
      <c r="J20" s="128"/>
      <c r="K20" s="128"/>
      <c r="L20" s="128"/>
      <c r="M20" s="128"/>
      <c r="N20" s="122"/>
      <c r="O20" s="122"/>
      <c r="P20" s="122"/>
    </row>
    <row r="21" spans="1:16" ht="19.5" customHeight="1">
      <c r="A21" s="122" t="s">
        <v>105</v>
      </c>
      <c r="B21" s="122"/>
      <c r="C21" s="122"/>
      <c r="D21" s="122"/>
      <c r="E21" s="122"/>
      <c r="F21" s="122"/>
      <c r="G21" s="122"/>
      <c r="H21" s="122"/>
      <c r="I21" s="122"/>
      <c r="J21" s="128"/>
      <c r="K21" s="128"/>
      <c r="L21" s="128"/>
      <c r="M21" s="128"/>
      <c r="N21" s="122"/>
      <c r="O21" s="122"/>
      <c r="P21" s="122"/>
    </row>
    <row r="22" spans="1:16" ht="19.5" customHeight="1">
      <c r="A22" s="122" t="s">
        <v>106</v>
      </c>
      <c r="B22" s="122"/>
      <c r="C22" s="122"/>
      <c r="D22" s="122"/>
      <c r="E22" s="122"/>
      <c r="F22" s="122"/>
      <c r="G22" s="122"/>
      <c r="H22" s="122"/>
      <c r="I22" s="122"/>
      <c r="J22" s="128"/>
      <c r="K22" s="128"/>
      <c r="L22" s="128"/>
      <c r="M22" s="128"/>
      <c r="N22" s="122"/>
      <c r="O22" s="122"/>
      <c r="P22" s="122"/>
    </row>
    <row r="23" spans="1:16" s="150" customFormat="1" ht="19.5" customHeight="1">
      <c r="A23" s="122" t="s">
        <v>129</v>
      </c>
      <c r="B23" s="122"/>
      <c r="C23" s="122"/>
      <c r="D23" s="122"/>
      <c r="E23" s="122"/>
      <c r="F23" s="122"/>
      <c r="G23" s="122"/>
      <c r="H23" s="122"/>
      <c r="I23" s="122"/>
      <c r="J23" s="128"/>
      <c r="K23" s="128"/>
      <c r="L23" s="128"/>
      <c r="M23" s="128"/>
      <c r="N23" s="122"/>
      <c r="O23" s="122"/>
      <c r="P23" s="122"/>
    </row>
    <row r="24" spans="1:16" ht="19.5" customHeight="1">
      <c r="A24" s="122" t="s">
        <v>130</v>
      </c>
      <c r="B24" s="122"/>
      <c r="C24" s="122"/>
      <c r="D24" s="122"/>
      <c r="E24" s="122"/>
      <c r="F24" s="122"/>
      <c r="G24" s="122"/>
      <c r="H24" s="122"/>
      <c r="I24" s="122"/>
      <c r="J24" s="128"/>
      <c r="K24" s="128"/>
      <c r="L24" s="128"/>
      <c r="M24" s="128"/>
      <c r="N24" s="122"/>
      <c r="O24" s="122"/>
      <c r="P24" s="122"/>
    </row>
    <row r="25" spans="1:16" ht="19.5" customHeight="1">
      <c r="A25" s="122" t="s">
        <v>131</v>
      </c>
      <c r="B25" s="122"/>
      <c r="C25" s="122"/>
      <c r="D25" s="122"/>
      <c r="E25" s="122"/>
      <c r="F25" s="122"/>
      <c r="G25" s="122"/>
      <c r="H25" s="122"/>
      <c r="I25" s="122"/>
      <c r="J25" s="128"/>
      <c r="K25" s="128"/>
      <c r="L25" s="128"/>
      <c r="M25" s="128"/>
      <c r="N25" s="122"/>
      <c r="O25" s="122"/>
      <c r="P25" s="122"/>
    </row>
    <row r="26" spans="1:16" ht="19.5" customHeight="1">
      <c r="A26" s="122" t="s">
        <v>28</v>
      </c>
      <c r="B26" s="122"/>
      <c r="C26" s="122"/>
      <c r="D26" s="122"/>
      <c r="E26" s="122"/>
      <c r="F26" s="122"/>
      <c r="G26" s="122"/>
      <c r="H26" s="122"/>
      <c r="I26" s="122"/>
      <c r="J26" s="128"/>
      <c r="K26" s="128"/>
      <c r="L26" s="128"/>
      <c r="M26" s="128"/>
      <c r="N26" s="122"/>
      <c r="O26" s="122"/>
      <c r="P26" s="122"/>
    </row>
    <row r="27" spans="1:16" ht="19.5" customHeight="1">
      <c r="A27" s="122" t="s">
        <v>107</v>
      </c>
      <c r="B27" s="122"/>
      <c r="C27" s="122"/>
      <c r="D27" s="122"/>
      <c r="E27" s="122"/>
      <c r="F27" s="122"/>
      <c r="G27" s="122"/>
      <c r="H27" s="122"/>
      <c r="I27" s="122"/>
      <c r="J27" s="128"/>
      <c r="K27" s="128"/>
      <c r="L27" s="128"/>
      <c r="M27" s="128"/>
      <c r="N27" s="122"/>
      <c r="O27" s="122"/>
      <c r="P27" s="122"/>
    </row>
    <row r="28" spans="1:16" ht="19.5" customHeight="1">
      <c r="A28" s="122" t="s">
        <v>128</v>
      </c>
      <c r="B28" s="122"/>
      <c r="C28" s="122"/>
      <c r="D28" s="122"/>
      <c r="E28" s="122"/>
      <c r="F28" s="122"/>
      <c r="G28" s="122"/>
      <c r="H28" s="122"/>
      <c r="I28" s="122"/>
      <c r="J28" s="128"/>
      <c r="K28" s="128"/>
      <c r="L28" s="128"/>
      <c r="M28" s="128"/>
      <c r="N28" s="122"/>
      <c r="O28" s="122"/>
      <c r="P28" s="122"/>
    </row>
    <row r="29" spans="1:16" ht="19.5" customHeight="1">
      <c r="A29" s="122" t="s">
        <v>132</v>
      </c>
      <c r="B29" s="122"/>
      <c r="C29" s="122"/>
      <c r="D29" s="122"/>
      <c r="E29" s="122"/>
      <c r="F29" s="122"/>
      <c r="G29" s="122"/>
      <c r="H29" s="122"/>
      <c r="I29" s="122"/>
      <c r="J29" s="128"/>
      <c r="K29" s="128"/>
      <c r="L29" s="128"/>
      <c r="M29" s="128"/>
      <c r="N29" s="122"/>
      <c r="O29" s="122"/>
      <c r="P29" s="122"/>
    </row>
    <row r="30" spans="1:16" ht="20.25" customHeight="1">
      <c r="A30" s="122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6" ht="18.75">
      <c r="A31" s="122"/>
    </row>
  </sheetData>
  <mergeCells count="3">
    <mergeCell ref="E5:F5"/>
    <mergeCell ref="H5:I5"/>
    <mergeCell ref="K4:L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E13" sqref="E13"/>
    </sheetView>
  </sheetViews>
  <sheetFormatPr defaultRowHeight="15"/>
  <cols>
    <col min="4" max="4" width="10" customWidth="1"/>
    <col min="5" max="5" width="11.85546875" customWidth="1"/>
    <col min="6" max="6" width="12.7109375" bestFit="1" customWidth="1"/>
    <col min="7" max="7" width="10" bestFit="1" customWidth="1"/>
    <col min="10" max="10" width="10" bestFit="1" customWidth="1"/>
  </cols>
  <sheetData>
    <row r="1" spans="1:10">
      <c r="A1" s="2" t="s">
        <v>30</v>
      </c>
      <c r="D1" s="127"/>
      <c r="E1" t="s">
        <v>80</v>
      </c>
      <c r="F1" t="s">
        <v>76</v>
      </c>
      <c r="G1" t="s">
        <v>109</v>
      </c>
    </row>
    <row r="2" spans="1:10">
      <c r="D2" s="127"/>
      <c r="E2" s="88">
        <v>2020</v>
      </c>
      <c r="F2" s="84">
        <v>2019</v>
      </c>
      <c r="G2" s="107"/>
    </row>
    <row r="3" spans="1:10">
      <c r="A3" t="s">
        <v>1</v>
      </c>
      <c r="D3" s="1"/>
      <c r="E3" s="89">
        <v>10435</v>
      </c>
      <c r="F3" s="1">
        <v>10457</v>
      </c>
      <c r="G3" s="1">
        <f>(E3+E3+F3)/3</f>
        <v>10442.333333333334</v>
      </c>
      <c r="J3" s="56"/>
    </row>
    <row r="4" spans="1:10">
      <c r="A4" t="s">
        <v>2</v>
      </c>
      <c r="D4" s="1"/>
      <c r="E4" s="89">
        <v>14850</v>
      </c>
      <c r="F4" s="1">
        <v>14826</v>
      </c>
      <c r="G4" s="1">
        <f t="shared" ref="G4:G12" si="0">(E4+E4+F4)/3</f>
        <v>14842</v>
      </c>
      <c r="J4" s="56"/>
    </row>
    <row r="5" spans="1:10">
      <c r="A5" t="s">
        <v>3</v>
      </c>
      <c r="D5" s="1"/>
      <c r="E5" s="89">
        <v>9282</v>
      </c>
      <c r="F5" s="1">
        <v>9304</v>
      </c>
      <c r="G5" s="1">
        <f t="shared" si="0"/>
        <v>9289.3333333333339</v>
      </c>
      <c r="J5" s="56"/>
    </row>
    <row r="6" spans="1:10">
      <c r="A6" t="s">
        <v>4</v>
      </c>
      <c r="D6" s="1"/>
      <c r="E6" s="89">
        <v>4992</v>
      </c>
      <c r="F6" s="1">
        <v>5005</v>
      </c>
      <c r="G6" s="1">
        <f t="shared" si="0"/>
        <v>4996.333333333333</v>
      </c>
      <c r="J6" s="56"/>
    </row>
    <row r="7" spans="1:10">
      <c r="A7" t="s">
        <v>5</v>
      </c>
      <c r="D7" s="1"/>
      <c r="E7" s="89">
        <v>10786</v>
      </c>
      <c r="F7" s="1">
        <v>10968</v>
      </c>
      <c r="G7" s="1">
        <f t="shared" si="0"/>
        <v>10846.666666666666</v>
      </c>
      <c r="J7" s="56"/>
    </row>
    <row r="8" spans="1:10">
      <c r="A8" t="s">
        <v>6</v>
      </c>
      <c r="D8" s="1"/>
      <c r="E8" s="89">
        <v>10671</v>
      </c>
      <c r="F8" s="1">
        <v>10675</v>
      </c>
      <c r="G8" s="1">
        <f t="shared" si="0"/>
        <v>10672.333333333334</v>
      </c>
      <c r="J8" s="56"/>
    </row>
    <row r="9" spans="1:10">
      <c r="A9" t="s">
        <v>7</v>
      </c>
      <c r="D9" s="1"/>
      <c r="E9" s="89">
        <v>9285</v>
      </c>
      <c r="F9" s="1">
        <v>9276</v>
      </c>
      <c r="G9" s="1">
        <f t="shared" si="0"/>
        <v>9282</v>
      </c>
      <c r="J9" s="56"/>
    </row>
    <row r="10" spans="1:10">
      <c r="A10" t="s">
        <v>15</v>
      </c>
      <c r="D10" s="1"/>
      <c r="E10" s="89">
        <v>10628</v>
      </c>
      <c r="F10" s="1">
        <v>10662</v>
      </c>
      <c r="G10" s="1">
        <f t="shared" si="0"/>
        <v>10639.333333333334</v>
      </c>
      <c r="J10" s="56"/>
    </row>
    <row r="11" spans="1:10">
      <c r="A11" t="s">
        <v>16</v>
      </c>
      <c r="D11" s="1"/>
      <c r="E11" s="89">
        <v>8284</v>
      </c>
      <c r="F11" s="1">
        <v>8296</v>
      </c>
      <c r="G11" s="1">
        <f t="shared" si="0"/>
        <v>8288</v>
      </c>
      <c r="J11" s="56"/>
    </row>
    <row r="12" spans="1:10">
      <c r="A12" t="s">
        <v>8</v>
      </c>
      <c r="D12" s="1"/>
      <c r="E12" s="89">
        <v>6724</v>
      </c>
      <c r="F12" s="1">
        <v>7048</v>
      </c>
      <c r="G12" s="1">
        <f t="shared" si="0"/>
        <v>6832</v>
      </c>
      <c r="J12" s="56"/>
    </row>
    <row r="13" spans="1:10">
      <c r="A13" t="s">
        <v>0</v>
      </c>
      <c r="D13" s="1"/>
      <c r="E13" s="1">
        <f t="shared" ref="E13:F13" si="1">SUM(E3:E12)</f>
        <v>95937</v>
      </c>
      <c r="F13" s="1">
        <f t="shared" si="1"/>
        <v>96517</v>
      </c>
      <c r="G13" s="1">
        <f>SUM(G3:G12)</f>
        <v>96130.333333333328</v>
      </c>
      <c r="J13" s="56"/>
    </row>
    <row r="14" spans="1:10">
      <c r="J14" s="11"/>
    </row>
    <row r="15" spans="1:10">
      <c r="J15" s="1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BEVILLING 2021-24</vt:lpstr>
      <vt:lpstr>ved tilbageholdelse af pulje</vt:lpstr>
      <vt:lpstr>18-19-19 BB-Model</vt:lpstr>
      <vt:lpstr>ny m2</vt:lpstr>
      <vt:lpstr>ny m2 rådata</vt:lpstr>
      <vt:lpstr>Formål 2</vt:lpstr>
      <vt:lpstr>Formål 3 skal</vt:lpstr>
      <vt:lpstr>Formål 3 kan</vt:lpstr>
      <vt:lpstr>Indbyggere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Haastrup</dc:creator>
  <cp:lastModifiedBy>Johanne Haastrup</cp:lastModifiedBy>
  <cp:lastPrinted>2021-03-29T10:43:31Z</cp:lastPrinted>
  <dcterms:created xsi:type="dcterms:W3CDTF">2015-11-27T13:12:07Z</dcterms:created>
  <dcterms:modified xsi:type="dcterms:W3CDTF">2021-03-29T12:20:57Z</dcterms:modified>
</cp:coreProperties>
</file>