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irkenettet-my.sharepoint.com/personal/bros_km_dk/Documents/Dokumenter/Budgetmodel BB/BBM gældende version/"/>
    </mc:Choice>
  </mc:AlternateContent>
  <xr:revisionPtr revIDLastSave="53" documentId="8_{9B2BEBA7-42A7-43AA-841E-57AB2C92A8A6}" xr6:coauthVersionLast="47" xr6:coauthVersionMax="47" xr10:uidLastSave="{7A794B6B-AD17-406D-BAB5-0ACF6CD94920}"/>
  <bookViews>
    <workbookView xWindow="-28920" yWindow="-1890" windowWidth="29040" windowHeight="17640" tabRatio="844" xr2:uid="{00000000-000D-0000-FFFF-FFFF00000000}"/>
  </bookViews>
  <sheets>
    <sheet name="BEVILLING 2021-2025" sheetId="27" r:id="rId1"/>
    <sheet name="Bevilling 2022" sheetId="28" r:id="rId2"/>
    <sheet name="1% BEVILLING 2021-2024" sheetId="26" r:id="rId3"/>
    <sheet name="19-19-21 BB-Model" sheetId="25" r:id="rId4"/>
    <sheet name="ny m2" sheetId="10" r:id="rId5"/>
    <sheet name="ny m2 rådata" sheetId="9" r:id="rId6"/>
    <sheet name="Formål 2" sheetId="3" r:id="rId7"/>
    <sheet name="Formål 3 skal" sheetId="4" r:id="rId8"/>
    <sheet name="Formål 3 kan" sheetId="5" r:id="rId9"/>
    <sheet name="Indbyggere" sheetId="6" r:id="rId10"/>
  </sheets>
  <definedNames>
    <definedName name="_xlnm.Print_Area" localSheetId="0">'BEVILLING 2021-2025'!$A$1:$K$27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5" l="1"/>
  <c r="I8" i="5"/>
  <c r="E18" i="4"/>
  <c r="E15" i="4"/>
  <c r="E14" i="4"/>
  <c r="E19" i="3"/>
  <c r="E16" i="3"/>
  <c r="I11" i="5" l="1"/>
  <c r="H14" i="4"/>
  <c r="H18" i="4"/>
  <c r="H17" i="4"/>
  <c r="H15" i="4"/>
  <c r="H19" i="3"/>
  <c r="H16" i="3"/>
  <c r="H15" i="3"/>
  <c r="I12" i="5"/>
  <c r="I18" i="4"/>
  <c r="I16" i="4"/>
  <c r="I15" i="4"/>
  <c r="I14" i="4"/>
  <c r="I19" i="3"/>
  <c r="I16" i="3"/>
  <c r="D24" i="27" l="1"/>
  <c r="E14" i="27"/>
  <c r="E15" i="27"/>
  <c r="E16" i="27"/>
  <c r="E17" i="27"/>
  <c r="E18" i="27"/>
  <c r="E19" i="27"/>
  <c r="E20" i="27"/>
  <c r="E21" i="27"/>
  <c r="E22" i="27"/>
  <c r="E13" i="27"/>
  <c r="E13" i="6"/>
  <c r="H13" i="26"/>
  <c r="I15" i="5"/>
  <c r="L15" i="4"/>
  <c r="L16" i="3"/>
  <c r="I14" i="5"/>
  <c r="K15" i="4"/>
  <c r="K19" i="3"/>
  <c r="K16" i="3"/>
  <c r="I13" i="5"/>
  <c r="J15" i="4"/>
  <c r="J14" i="4"/>
  <c r="J16" i="3"/>
  <c r="J15" i="3"/>
  <c r="I10" i="5"/>
  <c r="G14" i="4"/>
  <c r="G15" i="3"/>
  <c r="I7" i="5"/>
  <c r="I6" i="5"/>
  <c r="F15" i="4"/>
  <c r="F14" i="4"/>
  <c r="F16" i="3"/>
  <c r="E24" i="27" l="1"/>
  <c r="D15" i="4"/>
  <c r="D14" i="4"/>
  <c r="D16" i="3"/>
  <c r="C5" i="27" l="1"/>
  <c r="B22" i="27"/>
  <c r="B24" i="27" s="1"/>
  <c r="B9" i="27"/>
  <c r="C5" i="26"/>
  <c r="C6" i="25"/>
  <c r="E22" i="25" s="1"/>
  <c r="F5" i="27" l="1"/>
  <c r="C6" i="27"/>
  <c r="F7" i="5"/>
  <c r="F6" i="27" l="1"/>
  <c r="C9" i="27"/>
  <c r="H33" i="9"/>
  <c r="E33" i="9"/>
  <c r="H25" i="9"/>
  <c r="E25" i="9"/>
  <c r="F23" i="27" l="1"/>
  <c r="H23" i="27"/>
  <c r="F9" i="27"/>
  <c r="G23" i="26"/>
  <c r="B22" i="26"/>
  <c r="B24" i="26" s="1"/>
  <c r="B9" i="26"/>
  <c r="C6" i="26" l="1"/>
  <c r="H23" i="26"/>
  <c r="H18" i="26"/>
  <c r="H15" i="26"/>
  <c r="H14" i="26"/>
  <c r="H19" i="26"/>
  <c r="H22" i="26"/>
  <c r="H17" i="26"/>
  <c r="H21" i="26"/>
  <c r="H16" i="26"/>
  <c r="H20" i="26"/>
  <c r="F15" i="5"/>
  <c r="F13" i="5"/>
  <c r="C9" i="26" l="1"/>
  <c r="D23" i="26"/>
  <c r="E9" i="26"/>
  <c r="H24" i="26"/>
  <c r="C3" i="4"/>
  <c r="C3" i="3"/>
  <c r="F6" i="5"/>
  <c r="F9" i="26" l="1"/>
  <c r="L6" i="5"/>
  <c r="F12" i="5"/>
  <c r="F11" i="5"/>
  <c r="G3" i="6" l="1"/>
  <c r="F14" i="5"/>
  <c r="F9" i="5"/>
  <c r="F8" i="5"/>
  <c r="G16" i="3"/>
  <c r="K55" i="9"/>
  <c r="H55" i="9"/>
  <c r="E55" i="9"/>
  <c r="B55" i="9"/>
  <c r="N55" i="9" l="1"/>
  <c r="H4" i="4"/>
  <c r="H3" i="4"/>
  <c r="H4" i="3"/>
  <c r="H3" i="3"/>
  <c r="I3" i="4" l="1"/>
  <c r="G3" i="4"/>
  <c r="L3" i="4" l="1"/>
  <c r="F3" i="4"/>
  <c r="L36" i="25" l="1"/>
  <c r="G4" i="6"/>
  <c r="G5" i="6"/>
  <c r="G6" i="6"/>
  <c r="G7" i="6"/>
  <c r="G8" i="6"/>
  <c r="G9" i="6"/>
  <c r="G10" i="6"/>
  <c r="G11" i="6"/>
  <c r="G12" i="6"/>
  <c r="L37" i="25" l="1"/>
  <c r="G13" i="6"/>
  <c r="M27" i="25" l="1"/>
  <c r="M32" i="25"/>
  <c r="M29" i="25"/>
  <c r="M28" i="25"/>
  <c r="M30" i="25"/>
  <c r="M35" i="25"/>
  <c r="L39" i="25"/>
  <c r="M31" i="25"/>
  <c r="M34" i="25"/>
  <c r="M33" i="25"/>
  <c r="M36" i="25"/>
  <c r="F10" i="5"/>
  <c r="L27" i="4"/>
  <c r="L28" i="4"/>
  <c r="L30" i="4"/>
  <c r="K28" i="4"/>
  <c r="K29" i="4"/>
  <c r="K30" i="4"/>
  <c r="J26" i="4"/>
  <c r="J27" i="4"/>
  <c r="J28" i="4"/>
  <c r="J29" i="4"/>
  <c r="J30" i="4"/>
  <c r="I28" i="4"/>
  <c r="I30" i="4"/>
  <c r="H26" i="4"/>
  <c r="H28" i="4"/>
  <c r="H30" i="4"/>
  <c r="G27" i="4"/>
  <c r="G28" i="4"/>
  <c r="F27" i="4"/>
  <c r="F28" i="4"/>
  <c r="F30" i="4"/>
  <c r="E26" i="4"/>
  <c r="E28" i="4"/>
  <c r="D28" i="4"/>
  <c r="D30" i="4"/>
  <c r="C26" i="4"/>
  <c r="C27" i="4"/>
  <c r="C28" i="4"/>
  <c r="C30" i="4"/>
  <c r="L29" i="3"/>
  <c r="L30" i="3"/>
  <c r="L32" i="3"/>
  <c r="K30" i="3"/>
  <c r="K31" i="3"/>
  <c r="K32" i="3"/>
  <c r="J28" i="3"/>
  <c r="J29" i="3"/>
  <c r="J30" i="3"/>
  <c r="J31" i="3"/>
  <c r="J32" i="3"/>
  <c r="I30" i="3"/>
  <c r="I32" i="3"/>
  <c r="H28" i="3"/>
  <c r="H30" i="3"/>
  <c r="H32" i="3"/>
  <c r="G29" i="3"/>
  <c r="G30" i="3"/>
  <c r="F29" i="3"/>
  <c r="F30" i="3"/>
  <c r="F32" i="3"/>
  <c r="E28" i="3"/>
  <c r="E30" i="3"/>
  <c r="D30" i="3"/>
  <c r="D32" i="3"/>
  <c r="C28" i="3"/>
  <c r="C29" i="3"/>
  <c r="C30" i="3"/>
  <c r="C32" i="3"/>
  <c r="I27" i="3"/>
  <c r="I25" i="4"/>
  <c r="L25" i="4"/>
  <c r="H25" i="4"/>
  <c r="G25" i="4"/>
  <c r="F25" i="4"/>
  <c r="D25" i="4"/>
  <c r="E3" i="3"/>
  <c r="E3" i="4"/>
  <c r="J20" i="4"/>
  <c r="G19" i="4"/>
  <c r="E19" i="4"/>
  <c r="L18" i="4"/>
  <c r="G18" i="4"/>
  <c r="F18" i="4"/>
  <c r="D18" i="4"/>
  <c r="C18" i="4"/>
  <c r="C20" i="4" s="1"/>
  <c r="M17" i="4"/>
  <c r="K16" i="4"/>
  <c r="K27" i="4" s="1"/>
  <c r="G15" i="4"/>
  <c r="G8" i="4"/>
  <c r="E8" i="4"/>
  <c r="L7" i="4"/>
  <c r="I7" i="4"/>
  <c r="H7" i="4"/>
  <c r="G7" i="4"/>
  <c r="G29" i="4" s="1"/>
  <c r="F7" i="4"/>
  <c r="E7" i="4"/>
  <c r="D7" i="4"/>
  <c r="C7" i="4"/>
  <c r="M6" i="4"/>
  <c r="I5" i="4"/>
  <c r="H5" i="4"/>
  <c r="H27" i="4" s="1"/>
  <c r="E5" i="4"/>
  <c r="E27" i="4" s="1"/>
  <c r="D5" i="4"/>
  <c r="L4" i="4"/>
  <c r="K4" i="4"/>
  <c r="I4" i="4"/>
  <c r="G4" i="4"/>
  <c r="F4" i="4"/>
  <c r="D4" i="4"/>
  <c r="K3" i="4"/>
  <c r="K25" i="4" s="1"/>
  <c r="J3" i="4"/>
  <c r="J9" i="4" s="1"/>
  <c r="C25" i="4"/>
  <c r="M37" i="25" l="1"/>
  <c r="E29" i="4"/>
  <c r="L26" i="4"/>
  <c r="H29" i="4"/>
  <c r="I27" i="4"/>
  <c r="I29" i="4"/>
  <c r="D27" i="4"/>
  <c r="F29" i="4"/>
  <c r="G26" i="4"/>
  <c r="I26" i="4"/>
  <c r="E25" i="4"/>
  <c r="K26" i="4"/>
  <c r="K31" i="4" s="1"/>
  <c r="D29" i="4"/>
  <c r="G30" i="4"/>
  <c r="D26" i="4"/>
  <c r="F26" i="4"/>
  <c r="F31" i="4" s="1"/>
  <c r="L29" i="4"/>
  <c r="J25" i="4"/>
  <c r="J31" i="4" s="1"/>
  <c r="C29" i="4"/>
  <c r="C31" i="4" s="1"/>
  <c r="E30" i="4"/>
  <c r="L13" i="5"/>
  <c r="I16" i="5"/>
  <c r="F16" i="5"/>
  <c r="L7" i="5"/>
  <c r="L14" i="5"/>
  <c r="L10" i="5"/>
  <c r="L8" i="5"/>
  <c r="L11" i="5"/>
  <c r="L15" i="5"/>
  <c r="L9" i="5"/>
  <c r="L12" i="5"/>
  <c r="H31" i="4"/>
  <c r="M28" i="4"/>
  <c r="F9" i="4"/>
  <c r="M5" i="4"/>
  <c r="L20" i="4"/>
  <c r="M14" i="4"/>
  <c r="F20" i="4"/>
  <c r="D20" i="4"/>
  <c r="H9" i="4"/>
  <c r="G9" i="4"/>
  <c r="M8" i="4"/>
  <c r="M15" i="4"/>
  <c r="L9" i="4"/>
  <c r="M19" i="4"/>
  <c r="K9" i="4"/>
  <c r="G20" i="4"/>
  <c r="E20" i="4"/>
  <c r="M16" i="4"/>
  <c r="I20" i="4"/>
  <c r="K20" i="4"/>
  <c r="H20" i="4"/>
  <c r="M18" i="4"/>
  <c r="D9" i="4"/>
  <c r="C9" i="4"/>
  <c r="I9" i="4"/>
  <c r="E9" i="4"/>
  <c r="M7" i="4"/>
  <c r="M3" i="4"/>
  <c r="M4" i="4"/>
  <c r="L27" i="3"/>
  <c r="K3" i="3"/>
  <c r="K27" i="3" s="1"/>
  <c r="J3" i="3"/>
  <c r="J27" i="3" s="1"/>
  <c r="I5" i="3"/>
  <c r="I29" i="3" s="1"/>
  <c r="H27" i="3"/>
  <c r="H5" i="3"/>
  <c r="H29" i="3" s="1"/>
  <c r="F27" i="3"/>
  <c r="G3" i="3"/>
  <c r="E27" i="3"/>
  <c r="E7" i="3"/>
  <c r="E5" i="3"/>
  <c r="E29" i="3" s="1"/>
  <c r="L31" i="4" l="1"/>
  <c r="G27" i="3"/>
  <c r="M27" i="4"/>
  <c r="E31" i="4"/>
  <c r="I31" i="4"/>
  <c r="M26" i="4"/>
  <c r="G31" i="4"/>
  <c r="D31" i="4"/>
  <c r="M29" i="4"/>
  <c r="M25" i="4"/>
  <c r="M30" i="4"/>
  <c r="L16" i="5"/>
  <c r="M20" i="4"/>
  <c r="M9" i="4"/>
  <c r="M31" i="4" l="1"/>
  <c r="O31" i="4"/>
  <c r="D5" i="3"/>
  <c r="D27" i="3"/>
  <c r="C27" i="3"/>
  <c r="I22" i="25" l="1"/>
  <c r="E38" i="25"/>
  <c r="D33" i="25" s="1"/>
  <c r="H36" i="25"/>
  <c r="H34" i="25"/>
  <c r="H29" i="25"/>
  <c r="G38" i="25"/>
  <c r="H38" i="25" s="1"/>
  <c r="H32" i="25"/>
  <c r="H33" i="25"/>
  <c r="H30" i="25"/>
  <c r="H27" i="25"/>
  <c r="H31" i="25"/>
  <c r="H35" i="25"/>
  <c r="H28" i="25"/>
  <c r="D29" i="3"/>
  <c r="M27" i="3"/>
  <c r="J33" i="3"/>
  <c r="M30" i="3"/>
  <c r="G17" i="25" l="1"/>
  <c r="J22" i="25"/>
  <c r="G19" i="25"/>
  <c r="D29" i="25"/>
  <c r="G14" i="25"/>
  <c r="G13" i="25"/>
  <c r="H20" i="25"/>
  <c r="G12" i="25"/>
  <c r="G15" i="25"/>
  <c r="G20" i="25"/>
  <c r="H11" i="25"/>
  <c r="H19" i="25"/>
  <c r="G16" i="25"/>
  <c r="H12" i="25"/>
  <c r="G11" i="25"/>
  <c r="H17" i="25"/>
  <c r="H15" i="25"/>
  <c r="H18" i="25"/>
  <c r="G18" i="25"/>
  <c r="H16" i="25"/>
  <c r="H13" i="25"/>
  <c r="H14" i="25"/>
  <c r="D35" i="25"/>
  <c r="D28" i="25"/>
  <c r="D30" i="25"/>
  <c r="D32" i="25"/>
  <c r="D27" i="25"/>
  <c r="D34" i="25"/>
  <c r="D31" i="25"/>
  <c r="D36" i="25"/>
  <c r="C32" i="25"/>
  <c r="C33" i="25" l="1"/>
  <c r="C27" i="25"/>
  <c r="C29" i="25"/>
  <c r="C36" i="25"/>
  <c r="C34" i="25"/>
  <c r="C30" i="25"/>
  <c r="C35" i="25"/>
  <c r="C28" i="25"/>
  <c r="C31" i="25"/>
  <c r="G37" i="25" l="1"/>
  <c r="C37" i="25" l="1"/>
  <c r="H37" i="25" l="1"/>
  <c r="L4" i="3" l="1"/>
  <c r="K4" i="3"/>
  <c r="I7" i="3"/>
  <c r="I4" i="3"/>
  <c r="H7" i="3"/>
  <c r="E8" i="3"/>
  <c r="G4" i="3"/>
  <c r="D7" i="3"/>
  <c r="D4" i="3"/>
  <c r="G8" i="3" l="1"/>
  <c r="L7" i="3"/>
  <c r="G7" i="3"/>
  <c r="F7" i="3"/>
  <c r="E9" i="3"/>
  <c r="C7" i="3"/>
  <c r="M6" i="3"/>
  <c r="M5" i="3"/>
  <c r="K9" i="3"/>
  <c r="J9" i="3"/>
  <c r="I9" i="3"/>
  <c r="H9" i="3"/>
  <c r="F4" i="3"/>
  <c r="M3" i="3"/>
  <c r="F9" i="3" l="1"/>
  <c r="C9" i="3"/>
  <c r="L9" i="3"/>
  <c r="G9" i="3"/>
  <c r="M4" i="3"/>
  <c r="M8" i="3"/>
  <c r="M7" i="3"/>
  <c r="D9" i="3"/>
  <c r="M9" i="3" l="1"/>
  <c r="L28" i="3" l="1"/>
  <c r="K28" i="3"/>
  <c r="I28" i="3"/>
  <c r="G28" i="3"/>
  <c r="D28" i="3"/>
  <c r="F28" i="3" l="1"/>
  <c r="M28" i="3" l="1"/>
  <c r="F13" i="6" l="1"/>
  <c r="E30" i="25" l="1"/>
  <c r="F30" i="25" s="1"/>
  <c r="E31" i="25"/>
  <c r="F31" i="25" s="1"/>
  <c r="E32" i="25"/>
  <c r="F32" i="25" s="1"/>
  <c r="E36" i="25"/>
  <c r="F36" i="25" s="1"/>
  <c r="E34" i="25"/>
  <c r="F34" i="25" s="1"/>
  <c r="E35" i="25"/>
  <c r="F35" i="25" s="1"/>
  <c r="E27" i="25"/>
  <c r="F27" i="25" s="1"/>
  <c r="E33" i="25"/>
  <c r="F33" i="25" s="1"/>
  <c r="E29" i="25"/>
  <c r="F29" i="25" s="1"/>
  <c r="E28" i="25"/>
  <c r="F28" i="25" s="1"/>
  <c r="G20" i="3"/>
  <c r="G32" i="3" s="1"/>
  <c r="E20" i="3"/>
  <c r="E32" i="3" s="1"/>
  <c r="L19" i="3"/>
  <c r="G19" i="3"/>
  <c r="G31" i="3" s="1"/>
  <c r="F19" i="3"/>
  <c r="E31" i="3"/>
  <c r="D19" i="3"/>
  <c r="C19" i="3"/>
  <c r="M18" i="3"/>
  <c r="J21" i="3"/>
  <c r="M15" i="3"/>
  <c r="M32" i="3" l="1"/>
  <c r="E33" i="3"/>
  <c r="G33" i="3"/>
  <c r="M17" i="3"/>
  <c r="K29" i="3"/>
  <c r="C21" i="3"/>
  <c r="C31" i="3"/>
  <c r="D21" i="3"/>
  <c r="D31" i="3"/>
  <c r="D33" i="3" s="1"/>
  <c r="L21" i="3"/>
  <c r="L31" i="3"/>
  <c r="L33" i="3" s="1"/>
  <c r="F21" i="3"/>
  <c r="F31" i="3"/>
  <c r="F33" i="3" s="1"/>
  <c r="H21" i="3"/>
  <c r="H31" i="3"/>
  <c r="H33" i="3" s="1"/>
  <c r="I21" i="3"/>
  <c r="I31" i="3"/>
  <c r="I33" i="3" s="1"/>
  <c r="E37" i="25"/>
  <c r="F38" i="25" s="1"/>
  <c r="D37" i="25"/>
  <c r="M16" i="3"/>
  <c r="G21" i="3"/>
  <c r="K21" i="3"/>
  <c r="E21" i="3"/>
  <c r="M20" i="3"/>
  <c r="M19" i="3"/>
  <c r="M31" i="3" l="1"/>
  <c r="C33" i="3"/>
  <c r="M29" i="3"/>
  <c r="K33" i="3"/>
  <c r="F37" i="25"/>
  <c r="M21" i="3"/>
  <c r="M33" i="3" l="1"/>
  <c r="D18" i="25" s="1"/>
  <c r="H21" i="25"/>
  <c r="D20" i="25" l="1"/>
  <c r="D17" i="25"/>
  <c r="D16" i="25"/>
  <c r="D11" i="25"/>
  <c r="D13" i="25"/>
  <c r="D14" i="25"/>
  <c r="D19" i="25"/>
  <c r="D12" i="25"/>
  <c r="D15" i="25"/>
  <c r="I15" i="25"/>
  <c r="J15" i="25" s="1"/>
  <c r="I14" i="25"/>
  <c r="J14" i="25" s="1"/>
  <c r="I19" i="25"/>
  <c r="J19" i="25" s="1"/>
  <c r="I16" i="25"/>
  <c r="J16" i="25" s="1"/>
  <c r="I18" i="25"/>
  <c r="J18" i="25" s="1"/>
  <c r="I13" i="25"/>
  <c r="J13" i="25" s="1"/>
  <c r="I17" i="25"/>
  <c r="J17" i="25" s="1"/>
  <c r="I12" i="25"/>
  <c r="J12" i="25" s="1"/>
  <c r="I20" i="25"/>
  <c r="J20" i="25" s="1"/>
  <c r="D21" i="25" l="1"/>
  <c r="I11" i="25"/>
  <c r="G21" i="25"/>
  <c r="I21" i="25" l="1"/>
  <c r="J11" i="25"/>
  <c r="J21" i="25" s="1"/>
  <c r="F5" i="10" l="1"/>
  <c r="B14" i="10"/>
  <c r="C8" i="10" l="1"/>
  <c r="D14" i="10"/>
  <c r="D16" i="10"/>
  <c r="B16" i="10"/>
  <c r="D8" i="10"/>
  <c r="E10" i="10"/>
  <c r="E12" i="10"/>
  <c r="E14" i="10"/>
  <c r="E16" i="10"/>
  <c r="B12" i="10"/>
  <c r="E8" i="10"/>
  <c r="B9" i="10"/>
  <c r="C11" i="10"/>
  <c r="C13" i="10"/>
  <c r="C15" i="10"/>
  <c r="C17" i="10"/>
  <c r="B11" i="10"/>
  <c r="B13" i="10"/>
  <c r="B15" i="10"/>
  <c r="B17" i="10"/>
  <c r="C9" i="10"/>
  <c r="D11" i="10"/>
  <c r="D13" i="10"/>
  <c r="D15" i="10"/>
  <c r="D17" i="10"/>
  <c r="E9" i="10"/>
  <c r="B8" i="10"/>
  <c r="D9" i="10"/>
  <c r="E11" i="10"/>
  <c r="E13" i="10"/>
  <c r="E15" i="10"/>
  <c r="E17" i="10"/>
  <c r="C14" i="10"/>
  <c r="C16" i="10"/>
  <c r="B10" i="10"/>
  <c r="D12" i="10"/>
  <c r="C12" i="10"/>
  <c r="D10" i="10"/>
  <c r="C10" i="10"/>
  <c r="F14" i="10" l="1"/>
  <c r="F17" i="10"/>
  <c r="F15" i="10"/>
  <c r="F13" i="10"/>
  <c r="F11" i="10"/>
  <c r="F8" i="10"/>
  <c r="F9" i="10"/>
  <c r="F16" i="10"/>
  <c r="F10" i="10"/>
  <c r="F12" i="10"/>
  <c r="F18" i="10" l="1"/>
  <c r="C19" i="25" s="1"/>
  <c r="C11" i="25" l="1"/>
  <c r="C16" i="25"/>
  <c r="E16" i="25" s="1"/>
  <c r="F16" i="25" s="1"/>
  <c r="C15" i="25"/>
  <c r="E15" i="25" s="1"/>
  <c r="F15" i="25" s="1"/>
  <c r="C13" i="25"/>
  <c r="E13" i="25" s="1"/>
  <c r="F13" i="25" s="1"/>
  <c r="C14" i="25"/>
  <c r="E14" i="25" s="1"/>
  <c r="F14" i="25" s="1"/>
  <c r="C20" i="25"/>
  <c r="E20" i="25" s="1"/>
  <c r="F20" i="25" s="1"/>
  <c r="C18" i="25"/>
  <c r="E18" i="25" s="1"/>
  <c r="F18" i="25" s="1"/>
  <c r="C17" i="25"/>
  <c r="E17" i="25" s="1"/>
  <c r="F17" i="25" s="1"/>
  <c r="C12" i="25"/>
  <c r="E12" i="25" s="1"/>
  <c r="F12" i="25" s="1"/>
  <c r="E19" i="25"/>
  <c r="F19" i="25" s="1"/>
  <c r="J32" i="25" l="1"/>
  <c r="J36" i="25"/>
  <c r="J31" i="25"/>
  <c r="J34" i="25"/>
  <c r="J28" i="25"/>
  <c r="J35" i="25"/>
  <c r="J33" i="25"/>
  <c r="J30" i="25"/>
  <c r="J29" i="25"/>
  <c r="F19" i="26" l="1"/>
  <c r="G19" i="26" s="1"/>
  <c r="D19" i="26" s="1"/>
  <c r="F18" i="26"/>
  <c r="G18" i="26" s="1"/>
  <c r="C18" i="26" s="1"/>
  <c r="E18" i="26" s="1"/>
  <c r="F21" i="26"/>
  <c r="G21" i="26" s="1"/>
  <c r="F20" i="26"/>
  <c r="G20" i="26" s="1"/>
  <c r="D20" i="26" s="1"/>
  <c r="F15" i="26"/>
  <c r="G15" i="26" s="1"/>
  <c r="D15" i="26" s="1"/>
  <c r="F16" i="26"/>
  <c r="G16" i="26" s="1"/>
  <c r="F14" i="26"/>
  <c r="G14" i="26" s="1"/>
  <c r="F17" i="26"/>
  <c r="G17" i="26" s="1"/>
  <c r="D17" i="26" s="1"/>
  <c r="F22" i="26"/>
  <c r="G22" i="26" s="1"/>
  <c r="N33" i="25"/>
  <c r="N29" i="25"/>
  <c r="N32" i="25"/>
  <c r="N30" i="25"/>
  <c r="N35" i="25"/>
  <c r="N28" i="25"/>
  <c r="N34" i="25"/>
  <c r="N31" i="25"/>
  <c r="N36" i="25"/>
  <c r="C21" i="25"/>
  <c r="E11" i="25"/>
  <c r="E21" i="25" l="1"/>
  <c r="F22" i="25" s="1"/>
  <c r="J27" i="25"/>
  <c r="N27" i="25" s="1"/>
  <c r="D18" i="26"/>
  <c r="C14" i="26"/>
  <c r="E14" i="26" s="1"/>
  <c r="D14" i="26"/>
  <c r="C20" i="26"/>
  <c r="E20" i="26" s="1"/>
  <c r="C16" i="26"/>
  <c r="E16" i="26" s="1"/>
  <c r="D16" i="26"/>
  <c r="C21" i="26"/>
  <c r="E21" i="26" s="1"/>
  <c r="D21" i="26"/>
  <c r="C15" i="26"/>
  <c r="E15" i="26" s="1"/>
  <c r="C17" i="26"/>
  <c r="E17" i="26" s="1"/>
  <c r="C22" i="26"/>
  <c r="E22" i="26" s="1"/>
  <c r="D22" i="26"/>
  <c r="C19" i="26"/>
  <c r="E19" i="26" s="1"/>
  <c r="F11" i="25"/>
  <c r="F21" i="25" s="1"/>
  <c r="J37" i="25" l="1"/>
  <c r="K27" i="25" s="1"/>
  <c r="K13" i="27" s="1"/>
  <c r="H13" i="27" s="1"/>
  <c r="F13" i="26"/>
  <c r="G13" i="26" s="1"/>
  <c r="D13" i="26" s="1"/>
  <c r="K35" i="25" l="1"/>
  <c r="K21" i="27" s="1"/>
  <c r="H21" i="27" s="1"/>
  <c r="I21" i="27" s="1"/>
  <c r="K36" i="25"/>
  <c r="K22" i="27" s="1"/>
  <c r="F22" i="27" s="1"/>
  <c r="K32" i="25"/>
  <c r="K18" i="27" s="1"/>
  <c r="F18" i="27" s="1"/>
  <c r="K29" i="25"/>
  <c r="K15" i="27" s="1"/>
  <c r="F15" i="27" s="1"/>
  <c r="K37" i="25"/>
  <c r="N37" i="25"/>
  <c r="K33" i="25"/>
  <c r="K19" i="27" s="1"/>
  <c r="H19" i="27" s="1"/>
  <c r="I19" i="27" s="1"/>
  <c r="K28" i="25"/>
  <c r="K14" i="27" s="1"/>
  <c r="F14" i="27" s="1"/>
  <c r="K34" i="25"/>
  <c r="K20" i="27" s="1"/>
  <c r="H20" i="27" s="1"/>
  <c r="I20" i="27" s="1"/>
  <c r="K30" i="25"/>
  <c r="K16" i="27" s="1"/>
  <c r="H16" i="27" s="1"/>
  <c r="I16" i="27" s="1"/>
  <c r="K31" i="25"/>
  <c r="K17" i="27" s="1"/>
  <c r="H17" i="27" s="1"/>
  <c r="I17" i="27" s="1"/>
  <c r="F13" i="27"/>
  <c r="G13" i="27" s="1"/>
  <c r="I13" i="27"/>
  <c r="C13" i="26"/>
  <c r="F24" i="26"/>
  <c r="I13" i="26" s="1"/>
  <c r="H22" i="27" l="1"/>
  <c r="I22" i="27" s="1"/>
  <c r="F21" i="27"/>
  <c r="G21" i="27" s="1"/>
  <c r="H18" i="27"/>
  <c r="I18" i="27" s="1"/>
  <c r="F19" i="27"/>
  <c r="F20" i="27"/>
  <c r="G20" i="27" s="1"/>
  <c r="K24" i="27"/>
  <c r="F16" i="27"/>
  <c r="G16" i="27" s="1"/>
  <c r="F17" i="27"/>
  <c r="G17" i="27" s="1"/>
  <c r="H14" i="27"/>
  <c r="I14" i="27" s="1"/>
  <c r="H15" i="27"/>
  <c r="I15" i="27" s="1"/>
  <c r="G15" i="27"/>
  <c r="G22" i="27"/>
  <c r="G14" i="27"/>
  <c r="G18" i="27"/>
  <c r="G19" i="27"/>
  <c r="D24" i="26"/>
  <c r="C24" i="26"/>
  <c r="I18" i="26"/>
  <c r="I23" i="26"/>
  <c r="I22" i="26"/>
  <c r="I15" i="26"/>
  <c r="I19" i="26"/>
  <c r="I14" i="26"/>
  <c r="I16" i="26"/>
  <c r="I17" i="26"/>
  <c r="I20" i="26"/>
  <c r="I21" i="26"/>
  <c r="G24" i="26"/>
  <c r="H24" i="27" l="1"/>
  <c r="F24" i="27"/>
  <c r="I24" i="26"/>
  <c r="E13" i="26"/>
  <c r="E24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tc={EF5A8D38-28DF-4833-B5E6-22126E426E31}</author>
  </authors>
  <commentList>
    <comment ref="H19" authorId="0" shapeId="0" xr:uid="{EF5A8D38-28DF-4833-B5E6-22126E426E31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Der er i statistikarket angivet, at der har været 3,5 konfirmationshold. Det har jeg rundet op til 4.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tc={65E603DA-4347-4012-830D-73A424E1015F}</author>
  </authors>
  <commentList>
    <comment ref="H18" authorId="0" shapeId="0" xr:uid="{65E603DA-4347-4012-830D-73A424E1015F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Der er i statistikarket angivet, at der har været 3,5 konfirmationshold. Det har jeg rundet op til 4.</t>
      </text>
    </comment>
  </commentList>
</comments>
</file>

<file path=xl/sharedStrings.xml><?xml version="1.0" encoding="utf-8"?>
<sst xmlns="http://schemas.openxmlformats.org/spreadsheetml/2006/main" count="479" uniqueCount="155">
  <si>
    <t>Bispebjerg-Brønshøj Provsti - oversigt over bevillinger 2021-2025</t>
  </si>
  <si>
    <t>Fremskrivning, %</t>
  </si>
  <si>
    <t xml:space="preserve">2022: 2% fremskrivning (forventes vedtaget på BU-møde den 25/8-2021), </t>
  </si>
  <si>
    <t>Bevilling BU, i alt</t>
  </si>
  <si>
    <t>1% pulje udtages i 2022 og udgift fordeles ikke over 3 år</t>
  </si>
  <si>
    <t>Aktivitetspulje</t>
  </si>
  <si>
    <t>Hospitalspræster</t>
  </si>
  <si>
    <t>2022: Ingen bevilling på kr. 95.000 da stort overskud i 2020</t>
  </si>
  <si>
    <t>Socialrådgiver</t>
  </si>
  <si>
    <t>Bevilling til fordeling</t>
  </si>
  <si>
    <t>Budget 2022 - beskæring/mertildeling implementeret med 1/3 minus fremskr.</t>
  </si>
  <si>
    <t>Budget 2023* - beskæring/mertildeling implementeret med 2/3 minus fremskr.</t>
  </si>
  <si>
    <t>Budget 2024* - beskæring/ mertildeling implementeret med 3/3 minus fremskr.</t>
  </si>
  <si>
    <t>Fuldt implementeret</t>
  </si>
  <si>
    <t>Lignings-beløb til drift 2021</t>
  </si>
  <si>
    <t>Ligningsbeløb til drift 2022</t>
  </si>
  <si>
    <t xml:space="preserve"> Udligningsordning over 3 år, implementeres med 1/3 i hhv budget 22, 23 og 24. Difference budget 24 ift. bevilling for 2021   - i tal </t>
  </si>
  <si>
    <t>1/3 regulering som fratrækkes/lægges til i budgetr 22, 23 og 24</t>
  </si>
  <si>
    <t>Budget 22 implementeret 1/3 ,2% fremskrivning, og ved tilbageholdelse af 1 % til pulje</t>
  </si>
  <si>
    <t>Budget 23 implementeret 2/3 ,2% fremskrivning, og ved tilbageholdelse af 1 % til pulje</t>
  </si>
  <si>
    <t>Budget 24 implementeret 3/3 ,2% fremskrivning, og ved tilbageholdelse af 1 % til pulje</t>
  </si>
  <si>
    <t>Budget 25 2% fremskrivning, og ved tilbageholdelse af 1 % til pulje</t>
  </si>
  <si>
    <t>Difference budget 24 ift. bevilling for 2021   - i tal</t>
  </si>
  <si>
    <t>%-fordeling 2021</t>
  </si>
  <si>
    <t>%-fordeling rev model 2024</t>
  </si>
  <si>
    <t>Ansgar</t>
  </si>
  <si>
    <t>Bellahøj-Utterslev</t>
  </si>
  <si>
    <t>Brønshøj</t>
  </si>
  <si>
    <t>Emdrup</t>
  </si>
  <si>
    <t>Grundtvigs</t>
  </si>
  <si>
    <t>Husum</t>
  </si>
  <si>
    <t>Husumvold</t>
  </si>
  <si>
    <t>Kapernaum</t>
  </si>
  <si>
    <t>Tagensbo</t>
  </si>
  <si>
    <t>Tingbjerg</t>
  </si>
  <si>
    <t>Hospitalspr+soc.rådg.+pulje</t>
  </si>
  <si>
    <t xml:space="preserve">                  -  </t>
  </si>
  <si>
    <t>I alt</t>
  </si>
  <si>
    <t>Kr. 200.000,-særlig bevilling til provstiets socialrådgivertjeneste lægges i Tingbjerg.</t>
  </si>
  <si>
    <t>Kr. 95.000,- særlig bevilling til provstiets hospitalspræstebetjening lægges i PUK. Ingen bevilling i 2022</t>
  </si>
  <si>
    <t>Bispebjerg-Brønshøj Provsti - oversigt over bevillinger 2021-2024</t>
  </si>
  <si>
    <t xml:space="preserve">2022: 1% fremskrivning (vedtaget på BU-møde den 21/4-2021), </t>
  </si>
  <si>
    <t>Budget 22 implementeret 1/3 ,1% fremskrivning, og ved tilbageholdelse af 1 % til pulje</t>
  </si>
  <si>
    <t>Bispebjerg-Brønshøjmodellen - statistiktal 2019-2019-2021 - med korrigeret statistik</t>
  </si>
  <si>
    <t>Beregning af %-fordeling og øgning/reduktion ift. budget 2021</t>
  </si>
  <si>
    <t>Samlet i provstiet til fordeling 21</t>
  </si>
  <si>
    <t>Nye m2 tal - indvendige mål og anvendelse bekræftet af MR. Korrigeret</t>
  </si>
  <si>
    <t>Særbev. til hospitalspr. og soc.rådg.</t>
  </si>
  <si>
    <t>statistik Ansgar. Uden brøk for antal deltagere.</t>
  </si>
  <si>
    <t>Fordelingsmodel på baggrund af budgettal 2021</t>
  </si>
  <si>
    <t>Formål 2, Kirkebygning og sognegård, 28%</t>
  </si>
  <si>
    <t>Formål 3, Kirkelige aktiviteter, 48,33%</t>
  </si>
  <si>
    <t>Ny m2 Grundbeløb ift. grundareal (75%)</t>
  </si>
  <si>
    <t>Beløb baseret på antal gudstj.,hand-linger og mk/ konf. (25%)</t>
  </si>
  <si>
    <t>Pct. for-deling</t>
  </si>
  <si>
    <t>Beløb baseret på antal 'skal'-ting (70%)</t>
  </si>
  <si>
    <t>Beløb baseret på 'kan'-ting (30%)</t>
  </si>
  <si>
    <t>Pct. fordeling</t>
  </si>
  <si>
    <t>Formål 6, Administration, 22%</t>
  </si>
  <si>
    <t>Formål 5, Præsteboliger, 1,67%</t>
  </si>
  <si>
    <t>Grundbeløb pr. MR (50%)</t>
  </si>
  <si>
    <t>Beløb baseret på antal indbyggere (50%)</t>
  </si>
  <si>
    <t>I alt model 19-19-21</t>
  </si>
  <si>
    <t>I alt %-fordeling 19-19-21</t>
  </si>
  <si>
    <t>I alt bevilget budget 2021</t>
  </si>
  <si>
    <t xml:space="preserve">%-fordeling budget 2021 </t>
  </si>
  <si>
    <t xml:space="preserve">Fordeling af m2 </t>
  </si>
  <si>
    <t>Tallene baseres på sammentællinger fra ark 'ny m2 rådata'</t>
  </si>
  <si>
    <t>sum</t>
  </si>
  <si>
    <t>Vægtning</t>
  </si>
  <si>
    <t>kontrol, sum skal være 100</t>
  </si>
  <si>
    <t>Primære arealer</t>
  </si>
  <si>
    <t>Sekundære arealer</t>
  </si>
  <si>
    <t>Tertiære arealer</t>
  </si>
  <si>
    <t>Kvartære arealer</t>
  </si>
  <si>
    <t>total i provsti</t>
  </si>
  <si>
    <t>m2 til formål 2</t>
  </si>
  <si>
    <r>
      <t xml:space="preserve">Primære arealer er defineret ud fra en </t>
    </r>
    <r>
      <rPr>
        <b/>
        <u/>
        <sz val="10"/>
        <color theme="1"/>
        <rFont val="Calibri (Tekst)"/>
      </rPr>
      <t>daglig brug</t>
    </r>
    <r>
      <rPr>
        <sz val="10"/>
        <color theme="1"/>
        <rFont val="Calibri"/>
        <family val="2"/>
        <scheme val="minor"/>
      </rPr>
      <t xml:space="preserve">, med krav til et </t>
    </r>
    <r>
      <rPr>
        <b/>
        <u/>
        <sz val="10"/>
        <color theme="1"/>
        <rFont val="Calibri (Tekst)"/>
      </rPr>
      <t>høj frekvens af rengøring.</t>
    </r>
    <r>
      <rPr>
        <sz val="10"/>
        <color theme="1"/>
        <rFont val="Calibri"/>
        <family val="2"/>
        <scheme val="minor"/>
      </rPr>
      <t xml:space="preserve"> 
Det er områder med et højt niveau af slid og omkostninger til drift og vedligehold.</t>
    </r>
  </si>
  <si>
    <r>
      <t xml:space="preserve">Sekundære arealer er defineret ud fra en (ca.) </t>
    </r>
    <r>
      <rPr>
        <b/>
        <u/>
        <sz val="10"/>
        <color theme="1"/>
        <rFont val="Calibri (Tekst)"/>
      </rPr>
      <t>ugentlig brug</t>
    </r>
    <r>
      <rPr>
        <sz val="10"/>
        <color theme="1"/>
        <rFont val="Calibri"/>
        <family val="2"/>
        <scheme val="minor"/>
      </rPr>
      <t xml:space="preserve">, med krav til en </t>
    </r>
    <r>
      <rPr>
        <b/>
        <u/>
        <sz val="10"/>
        <color theme="1"/>
        <rFont val="Calibri (Tekst)"/>
      </rPr>
      <t>mindre frekvens af rengøring.</t>
    </r>
    <r>
      <rPr>
        <sz val="10"/>
        <color theme="1"/>
        <rFont val="Calibri"/>
        <family val="2"/>
        <scheme val="minor"/>
      </rPr>
      <t xml:space="preserve"> 
Det er områder med lavere niveau af slid og omkostninger til drift og vedligehold.</t>
    </r>
  </si>
  <si>
    <r>
      <t xml:space="preserve">Tertiære arealer er defineret ud fra en </t>
    </r>
    <r>
      <rPr>
        <b/>
        <u/>
        <sz val="10"/>
        <color theme="1"/>
        <rFont val="Calibri (Tekst)"/>
      </rPr>
      <t>sekundær funktion</t>
    </r>
    <r>
      <rPr>
        <sz val="10"/>
        <color theme="1"/>
        <rFont val="Calibri"/>
        <family val="2"/>
        <scheme val="minor"/>
      </rPr>
      <t xml:space="preserve">, (støtte funktion), med krav til en </t>
    </r>
    <r>
      <rPr>
        <b/>
        <u/>
        <sz val="10"/>
        <color theme="1"/>
        <rFont val="Calibri (Tekst)"/>
      </rPr>
      <t>minimal frekvens af rengøring.</t>
    </r>
    <r>
      <rPr>
        <sz val="10"/>
        <color theme="1"/>
        <rFont val="Calibri"/>
        <family val="2"/>
        <scheme val="minor"/>
      </rPr>
      <t xml:space="preserve"> 
Det er områder med et minimalt niveau af slid og omkostninger til drift og vedligehold. </t>
    </r>
  </si>
  <si>
    <t xml:space="preserve">Kvartære arealer er defineret ud fra arealer, som i dag ikke kvalificerer til udligningsmidler, men hvor der kan være anseelige omkostninger ifm. daglig drift og vedligehold. </t>
  </si>
  <si>
    <t>Udgangspunkt:</t>
  </si>
  <si>
    <t>Kirkerum</t>
  </si>
  <si>
    <t>Pulpitur</t>
  </si>
  <si>
    <t>Depot og lager</t>
  </si>
  <si>
    <t>Udendørsarealer</t>
  </si>
  <si>
    <t>Kontorer</t>
  </si>
  <si>
    <t>Kapeller</t>
  </si>
  <si>
    <t>Varmecentral/teknik</t>
  </si>
  <si>
    <t>Mødelokaler/sale</t>
  </si>
  <si>
    <t>Museer</t>
  </si>
  <si>
    <t>Arkiver</t>
  </si>
  <si>
    <t>Fællesfaciliteter</t>
  </si>
  <si>
    <t>Ligrum</t>
  </si>
  <si>
    <t>Skure</t>
  </si>
  <si>
    <t>Opholdsrum</t>
  </si>
  <si>
    <t>Tårn</t>
  </si>
  <si>
    <t>Lofter</t>
  </si>
  <si>
    <t>Våbenhus</t>
  </si>
  <si>
    <t>Kisterum</t>
  </si>
  <si>
    <t>Venterum</t>
  </si>
  <si>
    <t>Kirke og sognegård under samme tag.</t>
  </si>
  <si>
    <t>m2</t>
  </si>
  <si>
    <t>Kirke</t>
  </si>
  <si>
    <r>
      <t xml:space="preserve">BBP 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- til formål 2, 'skal'-ting</t>
    </r>
  </si>
  <si>
    <t>Handlinger i kirken</t>
  </si>
  <si>
    <t>Grundtvig</t>
  </si>
  <si>
    <t>Husum-vold</t>
  </si>
  <si>
    <t>I alt i provstiet</t>
  </si>
  <si>
    <t>Gudstjenester x 1</t>
  </si>
  <si>
    <t>Andagter x 1/2</t>
  </si>
  <si>
    <t>Vielser/velsignelser</t>
  </si>
  <si>
    <t>Bisættelser/begravelser</t>
  </si>
  <si>
    <t>Konfirmandhold x 24</t>
  </si>
  <si>
    <t>Minikonfirmandhold x 8</t>
  </si>
  <si>
    <r>
      <t xml:space="preserve">BBP </t>
    </r>
    <r>
      <rPr>
        <b/>
        <sz val="11"/>
        <color theme="1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 - til formål 2, 'skal'-ting</t>
    </r>
  </si>
  <si>
    <t>Gennemsnit 19-19-21</t>
  </si>
  <si>
    <t xml:space="preserve">Da formål 2 handler om brug og vedligehold af kirkebygning tæller gudstjenester andetsteds (pkt. 6 i statistikskemaet) ikke med her. </t>
  </si>
  <si>
    <t xml:space="preserve">Tallet i Gudstjenester til formål 2 pkt. 4 i statistikken minus babysalmesang uanset om det er med eller uden præst. </t>
  </si>
  <si>
    <t xml:space="preserve">Tallet i Vielser/velsignelser til formål 2 pkt. 9 i statistikken minus vielser/velsignelser uden for kirkens rum. </t>
  </si>
  <si>
    <t xml:space="preserve">Tallet i Bisættelser/begravelser til formål 2: 2019 pkt. 10b 1+2, 2018 10b 2 </t>
  </si>
  <si>
    <t>BBP 2019 - til formål 3, 'skal'-ting</t>
  </si>
  <si>
    <t>Ting-bjerg</t>
  </si>
  <si>
    <t>BBP 2021 - til formål 3, 'skal'-ting</t>
  </si>
  <si>
    <t>Gennemsnit 19-19-21 - til formål 3, 'skal'-ting</t>
  </si>
  <si>
    <t xml:space="preserve">Formål 3 handler om kirkekassens udgifter til personale. Det betyder, at:  </t>
  </si>
  <si>
    <t>Gudstjenester andetsteds tælles med her.</t>
  </si>
  <si>
    <t xml:space="preserve">Vielser/velsignelser uden for kirkens rum (pkt. 9, 2 i statistikskemaet) tælles ikke med. </t>
  </si>
  <si>
    <t xml:space="preserve">Desuden: Tallet i Gudstjenester til formål 2 pkt. 4 i statistikken minus babysalmesang uanset om det er med eller uden præst. </t>
  </si>
  <si>
    <t xml:space="preserve">Antal koncerter og andre aktiviteter, statistik </t>
  </si>
  <si>
    <t>antal aktiviteter i statistik</t>
  </si>
  <si>
    <t>Noter:</t>
  </si>
  <si>
    <t>Mødeaktivitet defineres i statistik 18 og 19 ud fra flg. kriterier:</t>
  </si>
  <si>
    <t>Babysalmesang tælles med her.</t>
  </si>
  <si>
    <t>Koncerter tælles med her.</t>
  </si>
  <si>
    <t>Aktiviteter, der tælles med, skal have kirken som afsender, dvs. ikke udlejning og udlån.</t>
  </si>
  <si>
    <t>Fremover gælder denne skelne også kirkens eget kor, selvom det for statistiktallene for budget 22</t>
  </si>
  <si>
    <t>gælder, at alt kor er talt med.</t>
  </si>
  <si>
    <t>Præstens samtaler tæller ikke med.</t>
  </si>
  <si>
    <t>MR-møder, udvalgsmøder mm. tæller ikke med.</t>
  </si>
  <si>
    <t>Spejdere/FDF tælles ikke med.</t>
  </si>
  <si>
    <t>Socialrådgivning tælles med.</t>
  </si>
  <si>
    <t xml:space="preserve">Antal indbyggere pr. 1. januar </t>
  </si>
  <si>
    <t>til 2019-tal</t>
  </si>
  <si>
    <t>til 2021-tal</t>
  </si>
  <si>
    <t>Gennemsnit</t>
  </si>
  <si>
    <t>1/1 2020</t>
  </si>
  <si>
    <t>1/1 2022</t>
  </si>
  <si>
    <t>Budget 22 %-fordeling 18-19-19</t>
  </si>
  <si>
    <t>Budget 23 %-fordeling 19-19-21</t>
  </si>
  <si>
    <t>Budget 23 implementeret 2/3, 2% fremskrivning, og ved tilbageholdelse af 1 % til pulje</t>
  </si>
  <si>
    <t>Difference ml budget 23 og budget 22</t>
  </si>
  <si>
    <t>Differens</t>
  </si>
  <si>
    <t>Budget 23 direkte med statistiktal</t>
  </si>
  <si>
    <t>Bispebjerg-Brønshøj Provsti - oversigt over bevillinger 2021-2023 - foreløbig (rev 20/4-2022)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</si>
</sst>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-* #,##0\ _k_r_._-;\-* #,##0\ _k_r_._-;_-* &quot;-&quot;??\ _k_r_._-;_-@_-"/>
    <numFmt numFmtId="167" formatCode="_ * #,##0.00000000000_ ;_ * \-#,##0.000000000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u/>
      <sz val="10"/>
      <color theme="1"/>
      <name val="Calibri (Tekst)"/>
    </font>
    <font>
      <u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2">
    <xf numFmtId="0" fontId="0" fillId="0" borderId="0" xfId="0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>
      <alignment vertical="top" wrapText="1"/>
    </xf>
    <xf numFmtId="165" fontId="0" fillId="0" borderId="0" xfId="0" applyNumberFormat="1"/>
    <xf numFmtId="165" fontId="0" fillId="0" borderId="0" xfId="1" applyNumberFormat="1" applyFont="1" applyFill="1"/>
    <xf numFmtId="165" fontId="2" fillId="0" borderId="0" xfId="1" applyNumberFormat="1" applyFont="1" applyFill="1"/>
    <xf numFmtId="0" fontId="9" fillId="3" borderId="0" xfId="0" applyFont="1" applyFill="1" applyAlignment="1">
      <alignment horizontal="center" vertical="top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1" fillId="0" borderId="4" xfId="0" applyFont="1" applyBorder="1"/>
    <xf numFmtId="0" fontId="11" fillId="0" borderId="0" xfId="0" applyFont="1"/>
    <xf numFmtId="0" fontId="12" fillId="0" borderId="5" xfId="0" applyFont="1" applyBorder="1"/>
    <xf numFmtId="0" fontId="8" fillId="0" borderId="0" xfId="0" applyFont="1"/>
    <xf numFmtId="0" fontId="0" fillId="0" borderId="5" xfId="0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3" borderId="9" xfId="0" applyFont="1" applyFill="1" applyBorder="1"/>
    <xf numFmtId="0" fontId="2" fillId="3" borderId="10" xfId="0" applyFont="1" applyFill="1" applyBorder="1"/>
    <xf numFmtId="0" fontId="8" fillId="3" borderId="10" xfId="0" applyFont="1" applyFill="1" applyBorder="1"/>
    <xf numFmtId="0" fontId="2" fillId="3" borderId="11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8" fillId="0" borderId="7" xfId="0" applyFont="1" applyBorder="1"/>
    <xf numFmtId="0" fontId="13" fillId="0" borderId="8" xfId="0" applyFont="1" applyBorder="1"/>
    <xf numFmtId="0" fontId="7" fillId="0" borderId="0" xfId="0" applyFont="1"/>
    <xf numFmtId="2" fontId="13" fillId="0" borderId="8" xfId="0" applyNumberFormat="1" applyFont="1" applyBorder="1"/>
    <xf numFmtId="0" fontId="14" fillId="0" borderId="0" xfId="0" applyFont="1"/>
    <xf numFmtId="165" fontId="0" fillId="0" borderId="12" xfId="1" applyNumberFormat="1" applyFont="1" applyBorder="1"/>
    <xf numFmtId="165" fontId="19" fillId="0" borderId="0" xfId="1" applyNumberFormat="1" applyFont="1" applyAlignment="1"/>
    <xf numFmtId="165" fontId="19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16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4" fontId="15" fillId="0" borderId="9" xfId="1" applyFont="1" applyFill="1" applyBorder="1" applyAlignment="1">
      <alignment wrapText="1"/>
    </xf>
    <xf numFmtId="164" fontId="16" fillId="0" borderId="12" xfId="1" applyFont="1" applyFill="1" applyBorder="1" applyAlignment="1"/>
    <xf numFmtId="165" fontId="16" fillId="0" borderId="12" xfId="1" applyNumberFormat="1" applyFont="1" applyFill="1" applyBorder="1" applyAlignment="1">
      <alignment horizontal="right"/>
    </xf>
    <xf numFmtId="164" fontId="16" fillId="0" borderId="12" xfId="1" applyFont="1" applyFill="1" applyBorder="1" applyAlignment="1">
      <alignment wrapText="1"/>
    </xf>
    <xf numFmtId="165" fontId="16" fillId="0" borderId="12" xfId="1" applyNumberFormat="1" applyFont="1" applyFill="1" applyBorder="1" applyAlignment="1">
      <alignment horizontal="right" wrapText="1"/>
    </xf>
    <xf numFmtId="165" fontId="17" fillId="0" borderId="12" xfId="1" applyNumberFormat="1" applyFont="1" applyFill="1" applyBorder="1" applyAlignment="1">
      <alignment wrapText="1"/>
    </xf>
    <xf numFmtId="165" fontId="17" fillId="0" borderId="12" xfId="1" applyNumberFormat="1" applyFont="1" applyFill="1" applyBorder="1" applyAlignment="1">
      <alignment horizontal="right" wrapText="1"/>
    </xf>
    <xf numFmtId="3" fontId="18" fillId="0" borderId="11" xfId="0" applyNumberFormat="1" applyFont="1" applyBorder="1" applyAlignment="1">
      <alignment horizontal="right" vertical="center" wrapText="1"/>
    </xf>
    <xf numFmtId="0" fontId="2" fillId="4" borderId="0" xfId="0" applyFont="1" applyFill="1" applyAlignment="1">
      <alignment horizontal="left" wrapText="1"/>
    </xf>
    <xf numFmtId="164" fontId="0" fillId="4" borderId="0" xfId="1" applyFont="1" applyFill="1"/>
    <xf numFmtId="165" fontId="2" fillId="4" borderId="0" xfId="1" applyNumberFormat="1" applyFont="1" applyFill="1"/>
    <xf numFmtId="0" fontId="20" fillId="0" borderId="0" xfId="0" applyFont="1"/>
    <xf numFmtId="0" fontId="0" fillId="0" borderId="0" xfId="1" applyNumberFormat="1" applyFont="1"/>
    <xf numFmtId="164" fontId="16" fillId="0" borderId="11" xfId="1" applyFont="1" applyFill="1" applyBorder="1" applyAlignment="1">
      <alignment horizontal="left" wrapText="1"/>
    </xf>
    <xf numFmtId="164" fontId="0" fillId="0" borderId="11" xfId="1" applyFont="1" applyFill="1" applyBorder="1"/>
    <xf numFmtId="0" fontId="0" fillId="6" borderId="0" xfId="0" applyFill="1"/>
    <xf numFmtId="165" fontId="6" fillId="0" borderId="0" xfId="0" applyNumberFormat="1" applyFont="1"/>
    <xf numFmtId="0" fontId="2" fillId="6" borderId="0" xfId="0" applyFont="1" applyFill="1"/>
    <xf numFmtId="165" fontId="0" fillId="0" borderId="11" xfId="1" applyNumberFormat="1" applyFont="1" applyBorder="1"/>
    <xf numFmtId="165" fontId="17" fillId="0" borderId="11" xfId="1" applyNumberFormat="1" applyFont="1" applyFill="1" applyBorder="1" applyAlignment="1">
      <alignment horizontal="right" wrapText="1"/>
    </xf>
    <xf numFmtId="0" fontId="0" fillId="2" borderId="0" xfId="0" applyFill="1"/>
    <xf numFmtId="0" fontId="2" fillId="2" borderId="0" xfId="0" applyFont="1" applyFill="1"/>
    <xf numFmtId="3" fontId="4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165" fontId="4" fillId="0" borderId="0" xfId="1" applyNumberFormat="1" applyFont="1" applyFill="1"/>
    <xf numFmtId="165" fontId="3" fillId="0" borderId="0" xfId="1" applyNumberFormat="1" applyFont="1" applyFill="1"/>
    <xf numFmtId="165" fontId="2" fillId="7" borderId="0" xfId="1" applyNumberFormat="1" applyFont="1" applyFill="1" applyAlignment="1">
      <alignment horizontal="left" wrapText="1"/>
    </xf>
    <xf numFmtId="165" fontId="0" fillId="7" borderId="0" xfId="1" applyNumberFormat="1" applyFont="1" applyFill="1"/>
    <xf numFmtId="164" fontId="0" fillId="7" borderId="0" xfId="1" applyFont="1" applyFill="1"/>
    <xf numFmtId="165" fontId="2" fillId="7" borderId="0" xfId="1" applyNumberFormat="1" applyFont="1" applyFill="1"/>
    <xf numFmtId="164" fontId="2" fillId="7" borderId="0" xfId="1" applyFont="1" applyFill="1"/>
    <xf numFmtId="0" fontId="2" fillId="8" borderId="0" xfId="0" applyFont="1" applyFill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/>
    <xf numFmtId="165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9" borderId="0" xfId="0" applyFont="1" applyFill="1"/>
    <xf numFmtId="0" fontId="0" fillId="9" borderId="0" xfId="0" applyFill="1"/>
    <xf numFmtId="164" fontId="0" fillId="0" borderId="0" xfId="1" applyFont="1"/>
    <xf numFmtId="165" fontId="21" fillId="0" borderId="0" xfId="1" applyNumberFormat="1" applyFont="1" applyFill="1"/>
    <xf numFmtId="164" fontId="22" fillId="4" borderId="0" xfId="1" applyFont="1" applyFill="1"/>
    <xf numFmtId="165" fontId="22" fillId="0" borderId="0" xfId="1" applyNumberFormat="1" applyFont="1" applyFill="1"/>
    <xf numFmtId="164" fontId="2" fillId="4" borderId="0" xfId="1" applyFont="1" applyFill="1"/>
    <xf numFmtId="167" fontId="0" fillId="0" borderId="0" xfId="0" applyNumberFormat="1"/>
    <xf numFmtId="164" fontId="2" fillId="0" borderId="0" xfId="0" applyNumberFormat="1" applyFont="1"/>
    <xf numFmtId="164" fontId="22" fillId="0" borderId="0" xfId="1" applyFont="1"/>
    <xf numFmtId="0" fontId="2" fillId="0" borderId="7" xfId="0" applyFont="1" applyBorder="1"/>
    <xf numFmtId="0" fontId="0" fillId="10" borderId="0" xfId="0" applyFill="1"/>
    <xf numFmtId="0" fontId="0" fillId="10" borderId="0" xfId="0" applyFill="1" applyAlignment="1">
      <alignment wrapText="1"/>
    </xf>
    <xf numFmtId="0" fontId="23" fillId="0" borderId="0" xfId="0" applyFont="1"/>
    <xf numFmtId="0" fontId="23" fillId="2" borderId="0" xfId="0" applyFont="1" applyFill="1"/>
    <xf numFmtId="0" fontId="23" fillId="6" borderId="0" xfId="0" applyFont="1" applyFill="1"/>
    <xf numFmtId="0" fontId="23" fillId="0" borderId="0" xfId="0" applyFont="1" applyAlignment="1">
      <alignment wrapText="1"/>
    </xf>
    <xf numFmtId="165" fontId="23" fillId="0" borderId="0" xfId="1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4" fillId="5" borderId="0" xfId="0" applyFont="1" applyFill="1"/>
    <xf numFmtId="165" fontId="27" fillId="0" borderId="0" xfId="0" applyNumberFormat="1" applyFont="1"/>
    <xf numFmtId="165" fontId="28" fillId="0" borderId="0" xfId="0" applyNumberFormat="1" applyFont="1"/>
    <xf numFmtId="0" fontId="23" fillId="0" borderId="0" xfId="0" applyFont="1" applyAlignment="1">
      <alignment horizontal="right" wrapText="1"/>
    </xf>
    <xf numFmtId="165" fontId="6" fillId="0" borderId="0" xfId="1" applyNumberFormat="1" applyFont="1"/>
    <xf numFmtId="165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>
      <alignment horizontal="left"/>
    </xf>
    <xf numFmtId="0" fontId="2" fillId="8" borderId="0" xfId="0" applyFont="1" applyFill="1" applyAlignment="1">
      <alignment horizontal="left" wrapText="1"/>
    </xf>
    <xf numFmtId="2" fontId="4" fillId="8" borderId="0" xfId="0" applyNumberFormat="1" applyFont="1" applyFill="1" applyAlignment="1">
      <alignment horizontal="right"/>
    </xf>
    <xf numFmtId="2" fontId="4" fillId="8" borderId="0" xfId="0" applyNumberFormat="1" applyFont="1" applyFill="1"/>
    <xf numFmtId="2" fontId="3" fillId="8" borderId="0" xfId="0" applyNumberFormat="1" applyFont="1" applyFill="1"/>
    <xf numFmtId="166" fontId="4" fillId="8" borderId="0" xfId="0" applyNumberFormat="1" applyFont="1" applyFill="1" applyAlignment="1">
      <alignment horizontal="right"/>
    </xf>
    <xf numFmtId="166" fontId="4" fillId="8" borderId="0" xfId="0" applyNumberFormat="1" applyFont="1" applyFill="1"/>
    <xf numFmtId="165" fontId="0" fillId="0" borderId="13" xfId="1" applyNumberFormat="1" applyFont="1" applyFill="1" applyBorder="1"/>
    <xf numFmtId="0" fontId="0" fillId="0" borderId="9" xfId="0" applyBorder="1" applyAlignment="1">
      <alignment wrapText="1"/>
    </xf>
    <xf numFmtId="164" fontId="0" fillId="0" borderId="12" xfId="1" applyFont="1" applyFill="1" applyBorder="1"/>
    <xf numFmtId="165" fontId="1" fillId="0" borderId="0" xfId="1" applyNumberFormat="1" applyFont="1"/>
    <xf numFmtId="0" fontId="2" fillId="0" borderId="0" xfId="1" applyNumberFormat="1" applyFont="1"/>
    <xf numFmtId="165" fontId="2" fillId="0" borderId="12" xfId="1" applyNumberFormat="1" applyFont="1" applyBorder="1"/>
    <xf numFmtId="164" fontId="2" fillId="0" borderId="0" xfId="1" applyFont="1"/>
    <xf numFmtId="164" fontId="16" fillId="0" borderId="2" xfId="1" applyFont="1" applyFill="1" applyBorder="1" applyAlignment="1">
      <alignment horizontal="center" wrapText="1"/>
    </xf>
    <xf numFmtId="164" fontId="15" fillId="0" borderId="7" xfId="1" applyFont="1" applyFill="1" applyBorder="1" applyAlignment="1">
      <alignment horizontal="center" wrapText="1"/>
    </xf>
    <xf numFmtId="165" fontId="15" fillId="0" borderId="12" xfId="1" applyNumberFormat="1" applyFont="1" applyFill="1" applyBorder="1" applyAlignment="1">
      <alignment horizontal="right"/>
    </xf>
    <xf numFmtId="165" fontId="15" fillId="0" borderId="12" xfId="1" applyNumberFormat="1" applyFont="1" applyFill="1" applyBorder="1" applyAlignment="1">
      <alignment horizontal="right" wrapText="1"/>
    </xf>
    <xf numFmtId="164" fontId="16" fillId="0" borderId="0" xfId="1" applyFont="1" applyFill="1" applyBorder="1" applyAlignment="1">
      <alignment horizontal="left" wrapText="1"/>
    </xf>
    <xf numFmtId="165" fontId="16" fillId="0" borderId="13" xfId="1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2" fontId="0" fillId="0" borderId="0" xfId="0" applyNumberFormat="1"/>
    <xf numFmtId="0" fontId="2" fillId="0" borderId="0" xfId="0" applyFont="1" applyAlignment="1">
      <alignment wrapText="1"/>
    </xf>
    <xf numFmtId="165" fontId="2" fillId="0" borderId="14" xfId="1" applyNumberFormat="1" applyFont="1" applyBorder="1"/>
    <xf numFmtId="165" fontId="0" fillId="0" borderId="9" xfId="1" applyNumberFormat="1" applyFont="1" applyBorder="1"/>
    <xf numFmtId="165" fontId="2" fillId="0" borderId="9" xfId="1" applyNumberFormat="1" applyFont="1" applyBorder="1"/>
    <xf numFmtId="0" fontId="30" fillId="0" borderId="11" xfId="0" applyFont="1" applyFill="1" applyBorder="1" applyAlignment="1">
      <alignment wrapText="1"/>
    </xf>
    <xf numFmtId="0" fontId="30" fillId="0" borderId="8" xfId="0" applyFont="1" applyFill="1" applyBorder="1" applyAlignment="1"/>
    <xf numFmtId="3" fontId="30" fillId="0" borderId="8" xfId="0" applyNumberFormat="1" applyFont="1" applyFill="1" applyBorder="1" applyAlignment="1"/>
    <xf numFmtId="3" fontId="31" fillId="0" borderId="8" xfId="0" applyNumberFormat="1" applyFont="1" applyFill="1" applyBorder="1" applyAlignment="1">
      <alignment wrapText="1"/>
    </xf>
    <xf numFmtId="0" fontId="0" fillId="0" borderId="3" xfId="0" applyBorder="1" applyAlignment="1">
      <alignment horizontal="left" wrapText="1"/>
    </xf>
    <xf numFmtId="164" fontId="15" fillId="0" borderId="11" xfId="1" applyFont="1" applyFill="1" applyBorder="1" applyAlignment="1">
      <alignment horizontal="left" wrapText="1"/>
    </xf>
    <xf numFmtId="164" fontId="2" fillId="0" borderId="11" xfId="1" applyFont="1" applyFill="1" applyBorder="1"/>
    <xf numFmtId="0" fontId="30" fillId="0" borderId="5" xfId="0" applyFont="1" applyFill="1" applyBorder="1" applyAlignment="1"/>
    <xf numFmtId="3" fontId="31" fillId="0" borderId="12" xfId="0" applyNumberFormat="1" applyFont="1" applyFill="1" applyBorder="1" applyAlignment="1">
      <alignment wrapText="1"/>
    </xf>
    <xf numFmtId="2" fontId="0" fillId="0" borderId="12" xfId="0" applyNumberFormat="1" applyBorder="1"/>
    <xf numFmtId="0" fontId="0" fillId="0" borderId="12" xfId="0" applyBorder="1"/>
    <xf numFmtId="0" fontId="30" fillId="0" borderId="12" xfId="0" applyFont="1" applyFill="1" applyBorder="1" applyAlignment="1">
      <alignment wrapText="1"/>
    </xf>
    <xf numFmtId="0" fontId="0" fillId="5" borderId="14" xfId="0" applyFill="1" applyBorder="1" applyAlignment="1">
      <alignment wrapText="1"/>
    </xf>
    <xf numFmtId="165" fontId="2" fillId="5" borderId="15" xfId="1" applyNumberFormat="1" applyFont="1" applyFill="1" applyBorder="1"/>
    <xf numFmtId="165" fontId="2" fillId="5" borderId="14" xfId="1" applyNumberFormat="1" applyFont="1" applyFill="1" applyBorder="1"/>
    <xf numFmtId="164" fontId="15" fillId="5" borderId="7" xfId="1" applyFont="1" applyFill="1" applyBorder="1" applyAlignment="1">
      <alignment horizontal="center" wrapText="1"/>
    </xf>
    <xf numFmtId="165" fontId="15" fillId="5" borderId="12" xfId="1" applyNumberFormat="1" applyFont="1" applyFill="1" applyBorder="1" applyAlignment="1">
      <alignment horizontal="right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164" fontId="16" fillId="0" borderId="1" xfId="1" applyFont="1" applyFill="1" applyBorder="1" applyAlignment="1">
      <alignment horizontal="center" wrapText="1"/>
    </xf>
    <xf numFmtId="164" fontId="16" fillId="0" borderId="6" xfId="1" applyFont="1" applyFill="1" applyBorder="1" applyAlignment="1">
      <alignment horizontal="center" wrapText="1"/>
    </xf>
    <xf numFmtId="164" fontId="16" fillId="0" borderId="2" xfId="1" applyFont="1" applyFill="1" applyBorder="1" applyAlignment="1">
      <alignment horizontal="center" wrapText="1"/>
    </xf>
    <xf numFmtId="164" fontId="16" fillId="0" borderId="7" xfId="1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9" fillId="3" borderId="0" xfId="0" applyFont="1" applyFill="1" applyAlignment="1">
      <alignment horizontal="center" vertical="top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23" fillId="0" borderId="0" xfId="0" applyFont="1" applyAlignment="1">
      <alignment horizontal="right" wrapText="1"/>
    </xf>
    <xf numFmtId="0" fontId="29" fillId="5" borderId="0" xfId="0" applyFont="1" applyFill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nedicte Rostgaard Spies" id="{B9CC9D33-303D-4564-9253-0E32CBB5CCFD}" userId="S::BROS@km.dk::b7bac3a3-2e83-4ab8-b13d-565e87e6395a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9" dT="2022-04-28T07:09:21.04" personId="{B9CC9D33-303D-4564-9253-0E32CBB5CCFD}" id="{EF5A8D38-28DF-4833-B5E6-22126E426E31}">
    <text>Der er i statistikarket angivet, at der har været 3,5 konfirmationshold. Det har jeg rundet op til 4.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8" dT="2022-04-28T07:09:33.03" personId="{B9CC9D33-303D-4564-9253-0E32CBB5CCFD}" id="{65E603DA-4347-4012-830D-73A424E1015F}">
    <text>Der er i statistikarket angivet, at der har været 3,5 konfirmationshold. Det har jeg rundet op til 4.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458F-7D5B-4CDC-BEE5-D1535EA7DAA1}">
  <sheetPr>
    <pageSetUpPr fitToPage="1"/>
  </sheetPr>
  <dimension ref="A1:T27"/>
  <sheetViews>
    <sheetView tabSelected="1" view="pageBreakPreview" zoomScale="60" zoomScaleNormal="100" workbookViewId="0">
      <selection activeCell="K25" sqref="K25"/>
    </sheetView>
  </sheetViews>
  <sheetFormatPr defaultColWidth="8.88671875" defaultRowHeight="14.4"/>
  <cols>
    <col min="1" max="1" width="21.44140625" customWidth="1"/>
    <col min="2" max="7" width="13.109375" customWidth="1"/>
    <col min="8" max="12" width="16.33203125" customWidth="1"/>
    <col min="13" max="15" width="16" customWidth="1"/>
    <col min="16" max="16" width="11.109375" customWidth="1"/>
    <col min="17" max="17" width="11.6640625" customWidth="1"/>
    <col min="18" max="18" width="11.33203125" customWidth="1"/>
    <col min="19" max="19" width="9.6640625" customWidth="1"/>
    <col min="21" max="21" width="8.88671875" customWidth="1"/>
  </cols>
  <sheetData>
    <row r="1" spans="1:20" ht="21">
      <c r="A1" s="39" t="s">
        <v>154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0" ht="21">
      <c r="A2" s="39"/>
      <c r="B2" s="2">
        <v>2021</v>
      </c>
      <c r="C2" s="124">
        <v>2022</v>
      </c>
      <c r="D2" s="124"/>
      <c r="E2" s="124"/>
      <c r="F2" s="124">
        <v>2023</v>
      </c>
      <c r="G2" s="124"/>
      <c r="I2" s="124"/>
      <c r="J2" s="124"/>
      <c r="K2" s="124"/>
      <c r="L2" s="124"/>
      <c r="M2" s="124"/>
      <c r="N2" s="124"/>
      <c r="O2" s="124"/>
      <c r="P2" s="39"/>
      <c r="Q2" s="2"/>
      <c r="R2" s="39"/>
    </row>
    <row r="3" spans="1:20" ht="23.4">
      <c r="A3" s="158" t="s">
        <v>1</v>
      </c>
      <c r="B3" s="37"/>
      <c r="C3" s="59"/>
      <c r="D3" s="59"/>
      <c r="E3" s="59"/>
      <c r="F3" s="59"/>
      <c r="G3" s="59"/>
      <c r="I3" s="59"/>
      <c r="J3" s="59"/>
      <c r="K3" s="59"/>
      <c r="L3" s="59"/>
      <c r="Q3" s="37"/>
      <c r="R3" s="37"/>
    </row>
    <row r="4" spans="1:20" ht="23.4">
      <c r="A4" s="158"/>
      <c r="C4" s="123">
        <v>2</v>
      </c>
      <c r="D4" s="123"/>
      <c r="E4" s="123"/>
      <c r="F4" s="123">
        <v>2</v>
      </c>
      <c r="G4" s="123"/>
      <c r="H4" t="s">
        <v>2</v>
      </c>
      <c r="I4" s="123"/>
      <c r="K4" s="123"/>
      <c r="L4" s="123"/>
      <c r="M4" s="123"/>
      <c r="N4" s="123"/>
      <c r="O4" s="123"/>
      <c r="Q4" s="37"/>
    </row>
    <row r="5" spans="1:20" ht="23.4">
      <c r="A5" t="s">
        <v>3</v>
      </c>
      <c r="B5" s="123">
        <v>48110531.192908563</v>
      </c>
      <c r="C5" s="123">
        <f>B5+B5*(C4/100)</f>
        <v>49072741.816766731</v>
      </c>
      <c r="D5" s="123"/>
      <c r="E5" s="123"/>
      <c r="F5" s="123">
        <f>C5+C5*(F4/100)</f>
        <v>50054196.653102063</v>
      </c>
      <c r="G5" s="123"/>
      <c r="H5" s="123" t="s">
        <v>4</v>
      </c>
      <c r="I5" s="123"/>
      <c r="K5" s="123"/>
      <c r="L5" s="123"/>
      <c r="M5" s="123"/>
      <c r="N5" s="123"/>
      <c r="O5" s="123"/>
      <c r="Q5" s="37"/>
      <c r="R5" s="58"/>
    </row>
    <row r="6" spans="1:20" ht="23.4">
      <c r="A6" t="s">
        <v>5</v>
      </c>
      <c r="B6" s="123"/>
      <c r="C6" s="123">
        <f>-(C5*1/100)</f>
        <v>-490727.41816766729</v>
      </c>
      <c r="D6" s="123"/>
      <c r="E6" s="123"/>
      <c r="F6" s="123">
        <f>-(F5*1/100)</f>
        <v>-500541.96653102065</v>
      </c>
      <c r="G6" s="123"/>
      <c r="H6" s="3"/>
      <c r="I6" s="123"/>
      <c r="K6" s="123"/>
      <c r="L6" s="123"/>
      <c r="M6" s="123"/>
      <c r="N6" s="123"/>
      <c r="O6" s="123"/>
      <c r="Q6" s="37"/>
      <c r="R6" s="58"/>
    </row>
    <row r="7" spans="1:20">
      <c r="A7" t="s">
        <v>6</v>
      </c>
      <c r="B7" s="123">
        <v>-95000</v>
      </c>
      <c r="C7" s="123">
        <v>0</v>
      </c>
      <c r="D7" s="123"/>
      <c r="E7" s="123"/>
      <c r="F7" s="123">
        <v>-95000</v>
      </c>
      <c r="G7" s="123"/>
      <c r="H7" s="1" t="s">
        <v>7</v>
      </c>
      <c r="I7" s="123"/>
      <c r="K7" s="123"/>
      <c r="L7" s="123"/>
      <c r="M7" s="123"/>
      <c r="N7" s="123"/>
      <c r="O7" s="123"/>
      <c r="Q7" s="1"/>
    </row>
    <row r="8" spans="1:20">
      <c r="A8" t="s">
        <v>8</v>
      </c>
      <c r="B8" s="123">
        <v>-200000</v>
      </c>
      <c r="C8" s="123">
        <v>-200000</v>
      </c>
      <c r="D8" s="123"/>
      <c r="E8" s="123"/>
      <c r="F8" s="123">
        <v>-200000</v>
      </c>
      <c r="G8" s="123"/>
      <c r="I8" s="123"/>
      <c r="J8" s="123"/>
      <c r="K8" s="123"/>
      <c r="L8" s="123"/>
      <c r="M8" s="123"/>
      <c r="N8" s="123"/>
      <c r="O8" s="123"/>
      <c r="P8" s="10"/>
      <c r="Q8" s="1"/>
    </row>
    <row r="9" spans="1:20">
      <c r="A9" s="2" t="s">
        <v>9</v>
      </c>
      <c r="B9" s="123">
        <f>SUM(B5:B8)</f>
        <v>47815531.192908563</v>
      </c>
      <c r="C9" s="123">
        <f>SUM(C5:C8)</f>
        <v>48382014.398599066</v>
      </c>
      <c r="D9" s="123"/>
      <c r="E9" s="123"/>
      <c r="F9" s="123">
        <f>SUM(F5:F8)</f>
        <v>49258654.686571039</v>
      </c>
      <c r="G9" s="123"/>
      <c r="I9" s="123"/>
      <c r="J9" s="123"/>
      <c r="K9" s="123"/>
      <c r="L9" s="123"/>
      <c r="M9" s="123"/>
      <c r="N9" s="123"/>
      <c r="O9" s="123"/>
      <c r="P9" s="3"/>
    </row>
    <row r="10" spans="1:20">
      <c r="P10" s="20"/>
    </row>
    <row r="11" spans="1:20" ht="23.25" customHeight="1">
      <c r="A11" s="2"/>
      <c r="B11" s="37"/>
      <c r="C11" s="37"/>
      <c r="D11" s="37"/>
      <c r="E11" s="37"/>
      <c r="J11" s="143"/>
      <c r="K11" s="133"/>
      <c r="L11" s="133"/>
      <c r="M11" s="37"/>
      <c r="Q11" s="37"/>
      <c r="R11" s="37"/>
    </row>
    <row r="12" spans="1:20" ht="158.4">
      <c r="A12" s="47"/>
      <c r="B12" s="121" t="s">
        <v>14</v>
      </c>
      <c r="C12" s="151" t="s">
        <v>15</v>
      </c>
      <c r="D12" s="139" t="s">
        <v>16</v>
      </c>
      <c r="E12" s="150" t="s">
        <v>17</v>
      </c>
      <c r="F12" s="154" t="s">
        <v>150</v>
      </c>
      <c r="G12" s="154" t="s">
        <v>151</v>
      </c>
      <c r="H12" s="154" t="s">
        <v>153</v>
      </c>
      <c r="I12" s="154" t="s">
        <v>152</v>
      </c>
      <c r="J12" s="7" t="s">
        <v>148</v>
      </c>
      <c r="K12" s="144" t="s">
        <v>149</v>
      </c>
      <c r="L12" s="7"/>
      <c r="T12" s="131"/>
    </row>
    <row r="13" spans="1:20">
      <c r="A13" s="48" t="s">
        <v>25</v>
      </c>
      <c r="B13" s="137">
        <v>4177827.1357164299</v>
      </c>
      <c r="C13" s="152">
        <v>4206696.0456835907</v>
      </c>
      <c r="D13" s="141">
        <v>-61881</v>
      </c>
      <c r="E13" s="141">
        <f>D13/3</f>
        <v>-20627</v>
      </c>
      <c r="F13" s="155">
        <f t="shared" ref="F13:F22" si="0">$F$9*K13/100-(-E13)</f>
        <v>4235153.3543449743</v>
      </c>
      <c r="G13" s="155">
        <f t="shared" ref="G13:G22" si="1">F13-C13</f>
        <v>28457.308661383577</v>
      </c>
      <c r="H13" s="155">
        <f t="shared" ref="H13:H22" si="2">F$9*K13/100</f>
        <v>4255780.3543449743</v>
      </c>
      <c r="I13" s="155">
        <f t="shared" ref="I13:I22" si="3">H13-C13</f>
        <v>49084.308661383577</v>
      </c>
      <c r="J13" s="148">
        <v>8.7373851790148827</v>
      </c>
      <c r="K13" s="145">
        <f>'19-19-21 BB-Model'!K27</f>
        <v>8.6396601397747688</v>
      </c>
      <c r="L13" s="134"/>
      <c r="T13" s="44"/>
    </row>
    <row r="14" spans="1:20">
      <c r="A14" s="50" t="s">
        <v>26</v>
      </c>
      <c r="B14" s="137">
        <v>6053976.5139491707</v>
      </c>
      <c r="C14" s="153">
        <v>6090942.0239818031</v>
      </c>
      <c r="D14" s="141">
        <v>-104273</v>
      </c>
      <c r="E14" s="141">
        <f t="shared" ref="E14:E22" si="4">D14/3</f>
        <v>-34757.666666666664</v>
      </c>
      <c r="F14" s="155">
        <f t="shared" si="0"/>
        <v>6030985.4365812261</v>
      </c>
      <c r="G14" s="155">
        <f t="shared" si="1"/>
        <v>-59956.587400577031</v>
      </c>
      <c r="H14" s="155">
        <f t="shared" si="2"/>
        <v>6065743.103247893</v>
      </c>
      <c r="I14" s="155">
        <f t="shared" si="3"/>
        <v>-25198.920733910054</v>
      </c>
      <c r="J14" s="148">
        <v>12.661108980521011</v>
      </c>
      <c r="K14" s="145">
        <f>'19-19-21 BB-Model'!K28</f>
        <v>12.314065704481255</v>
      </c>
      <c r="L14" s="134"/>
      <c r="T14" s="44"/>
    </row>
    <row r="15" spans="1:20">
      <c r="A15" s="50" t="s">
        <v>27</v>
      </c>
      <c r="B15" s="137">
        <v>6292350.0248675449</v>
      </c>
      <c r="C15" s="153">
        <v>6293817.962509634</v>
      </c>
      <c r="D15" s="141">
        <v>-219238</v>
      </c>
      <c r="E15" s="141">
        <f t="shared" si="4"/>
        <v>-73079.333333333328</v>
      </c>
      <c r="F15" s="155">
        <f t="shared" si="0"/>
        <v>6206718.6479743877</v>
      </c>
      <c r="G15" s="155">
        <f t="shared" si="1"/>
        <v>-87099.314535246231</v>
      </c>
      <c r="H15" s="155">
        <f t="shared" si="2"/>
        <v>6279797.9813077208</v>
      </c>
      <c r="I15" s="155">
        <f t="shared" si="3"/>
        <v>-14019.981201913208</v>
      </c>
      <c r="J15" s="148">
        <v>13.159636352216776</v>
      </c>
      <c r="K15" s="145">
        <f>'19-19-21 BB-Model'!K29</f>
        <v>12.748618534683059</v>
      </c>
      <c r="L15" s="134"/>
      <c r="T15" s="44"/>
    </row>
    <row r="16" spans="1:20">
      <c r="A16" s="50" t="s">
        <v>28</v>
      </c>
      <c r="B16" s="137">
        <v>4102382.1125983922</v>
      </c>
      <c r="C16" s="153">
        <v>4188762.0507050762</v>
      </c>
      <c r="D16" s="141">
        <v>113334</v>
      </c>
      <c r="E16" s="141">
        <f t="shared" si="4"/>
        <v>37778</v>
      </c>
      <c r="F16" s="155">
        <f t="shared" si="0"/>
        <v>4381039.0441733869</v>
      </c>
      <c r="G16" s="155">
        <f t="shared" si="1"/>
        <v>192276.99346831068</v>
      </c>
      <c r="H16" s="155">
        <f t="shared" si="2"/>
        <v>4343261.0441733869</v>
      </c>
      <c r="I16" s="155">
        <f t="shared" si="3"/>
        <v>154498.99346831068</v>
      </c>
      <c r="J16" s="148">
        <v>8.5796016696909767</v>
      </c>
      <c r="K16" s="145">
        <f>'19-19-21 BB-Model'!K30</f>
        <v>8.8172546972896768</v>
      </c>
      <c r="L16" s="134"/>
      <c r="T16" s="44"/>
    </row>
    <row r="17" spans="1:20">
      <c r="A17" s="50" t="s">
        <v>29</v>
      </c>
      <c r="B17" s="137">
        <v>7230024.1878989134</v>
      </c>
      <c r="C17" s="153">
        <v>7275823.2889031367</v>
      </c>
      <c r="D17" s="141">
        <v>-119571</v>
      </c>
      <c r="E17" s="141">
        <f t="shared" si="4"/>
        <v>-39857</v>
      </c>
      <c r="F17" s="155">
        <f t="shared" si="0"/>
        <v>7302627.3279250832</v>
      </c>
      <c r="G17" s="155">
        <f t="shared" si="1"/>
        <v>26804.03902194649</v>
      </c>
      <c r="H17" s="155">
        <f t="shared" si="2"/>
        <v>7342484.3279250832</v>
      </c>
      <c r="I17" s="155">
        <f t="shared" si="3"/>
        <v>66661.03902194649</v>
      </c>
      <c r="J17" s="148">
        <v>15.120660604458969</v>
      </c>
      <c r="K17" s="145">
        <f>'19-19-21 BB-Model'!K31</f>
        <v>14.90597819742487</v>
      </c>
      <c r="L17" s="134"/>
      <c r="T17" s="44"/>
    </row>
    <row r="18" spans="1:20">
      <c r="A18" s="48" t="s">
        <v>30</v>
      </c>
      <c r="B18" s="137">
        <v>5147561.990750663</v>
      </c>
      <c r="C18" s="153">
        <v>5061518.7433100836</v>
      </c>
      <c r="D18" s="141">
        <v>-441083</v>
      </c>
      <c r="E18" s="141">
        <f t="shared" si="4"/>
        <v>-147027.66666666666</v>
      </c>
      <c r="F18" s="155">
        <f t="shared" si="0"/>
        <v>5003496.0322057717</v>
      </c>
      <c r="G18" s="155">
        <f t="shared" si="1"/>
        <v>-58022.71110431198</v>
      </c>
      <c r="H18" s="155">
        <f t="shared" si="2"/>
        <v>5150523.6988724386</v>
      </c>
      <c r="I18" s="155">
        <f t="shared" si="3"/>
        <v>89004.955562354997</v>
      </c>
      <c r="J18" s="148">
        <v>10.765460222502119</v>
      </c>
      <c r="K18" s="145">
        <f>'19-19-21 BB-Model'!K32</f>
        <v>10.456078696514993</v>
      </c>
      <c r="L18" s="134"/>
      <c r="T18" s="44"/>
    </row>
    <row r="19" spans="1:20">
      <c r="A19" s="50" t="s">
        <v>31</v>
      </c>
      <c r="B19" s="137">
        <v>4507858.2272233926</v>
      </c>
      <c r="C19" s="153">
        <v>4717495.8047521096</v>
      </c>
      <c r="D19" s="141">
        <v>468695</v>
      </c>
      <c r="E19" s="141">
        <f t="shared" si="4"/>
        <v>156231.66666666666</v>
      </c>
      <c r="F19" s="155">
        <f t="shared" si="0"/>
        <v>5282227.0599902552</v>
      </c>
      <c r="G19" s="155">
        <f t="shared" si="1"/>
        <v>564731.25523814559</v>
      </c>
      <c r="H19" s="155">
        <f t="shared" si="2"/>
        <v>5125995.3933235882</v>
      </c>
      <c r="I19" s="155">
        <f t="shared" si="3"/>
        <v>408499.58857147861</v>
      </c>
      <c r="J19" s="148">
        <v>9.4276025273811985</v>
      </c>
      <c r="K19" s="145">
        <f>'19-19-21 BB-Model'!K33</f>
        <v>10.406283780870378</v>
      </c>
      <c r="L19" s="134"/>
      <c r="T19" s="44"/>
    </row>
    <row r="20" spans="1:20">
      <c r="A20" s="50" t="s">
        <v>32</v>
      </c>
      <c r="B20" s="137">
        <v>2979995.1065100986</v>
      </c>
      <c r="C20" s="153">
        <v>3051246.5305451355</v>
      </c>
      <c r="D20" s="141">
        <v>107840</v>
      </c>
      <c r="E20" s="141">
        <f t="shared" si="4"/>
        <v>35946.666666666664</v>
      </c>
      <c r="F20" s="155">
        <f t="shared" si="0"/>
        <v>3174036.9086406077</v>
      </c>
      <c r="G20" s="155">
        <f t="shared" si="1"/>
        <v>122790.37809547223</v>
      </c>
      <c r="H20" s="155">
        <f t="shared" si="2"/>
        <v>3138090.2419739412</v>
      </c>
      <c r="I20" s="155">
        <f t="shared" si="3"/>
        <v>86843.71142880572</v>
      </c>
      <c r="J20" s="148">
        <v>6.2322743932039737</v>
      </c>
      <c r="K20" s="145">
        <f>'19-19-21 BB-Model'!K34</f>
        <v>6.3706373264583931</v>
      </c>
      <c r="L20" s="134"/>
      <c r="T20" s="44"/>
    </row>
    <row r="21" spans="1:20">
      <c r="A21" s="50" t="s">
        <v>33</v>
      </c>
      <c r="B21" s="137">
        <v>3888335.886241979</v>
      </c>
      <c r="C21" s="153">
        <v>3926835.507314113</v>
      </c>
      <c r="D21" s="141">
        <v>-22700</v>
      </c>
      <c r="E21" s="141">
        <f t="shared" si="4"/>
        <v>-7566.666666666667</v>
      </c>
      <c r="F21" s="155">
        <f t="shared" si="0"/>
        <v>3940008.31287312</v>
      </c>
      <c r="G21" s="155">
        <f t="shared" si="1"/>
        <v>13172.805559006985</v>
      </c>
      <c r="H21" s="155">
        <f t="shared" si="2"/>
        <v>3947574.9795397865</v>
      </c>
      <c r="I21" s="155">
        <f t="shared" si="3"/>
        <v>20739.472225673497</v>
      </c>
      <c r="J21" s="148">
        <v>8.1319516676595072</v>
      </c>
      <c r="K21" s="145">
        <f>'19-19-21 BB-Model'!K35</f>
        <v>8.0139723763425881</v>
      </c>
      <c r="L21" s="134"/>
      <c r="T21" s="44"/>
    </row>
    <row r="22" spans="1:20">
      <c r="A22" s="50" t="s">
        <v>34</v>
      </c>
      <c r="B22" s="137">
        <f>3635220.00715198-200000</f>
        <v>3435220.00715198</v>
      </c>
      <c r="C22" s="153">
        <v>3568875.8900982076</v>
      </c>
      <c r="D22" s="141">
        <v>278874</v>
      </c>
      <c r="E22" s="141">
        <f t="shared" si="4"/>
        <v>92958</v>
      </c>
      <c r="F22" s="155">
        <f t="shared" si="0"/>
        <v>3702361.5618622173</v>
      </c>
      <c r="G22" s="155">
        <f t="shared" si="1"/>
        <v>133485.67176400963</v>
      </c>
      <c r="H22" s="155">
        <f t="shared" si="2"/>
        <v>3609403.5618622173</v>
      </c>
      <c r="I22" s="155">
        <f t="shared" si="3"/>
        <v>40527.671764009632</v>
      </c>
      <c r="J22" s="148">
        <v>7.1843184033506073</v>
      </c>
      <c r="K22" s="145">
        <f>'19-19-21 BB-Model'!K36</f>
        <v>7.3274505461599988</v>
      </c>
      <c r="L22" s="134"/>
      <c r="T22" s="44"/>
    </row>
    <row r="23" spans="1:20" ht="43.2">
      <c r="A23" s="50" t="s">
        <v>35</v>
      </c>
      <c r="B23" s="137">
        <v>295000</v>
      </c>
      <c r="C23" s="136">
        <v>690727.41816766723</v>
      </c>
      <c r="D23" s="140" t="s">
        <v>36</v>
      </c>
      <c r="E23" s="146"/>
      <c r="F23" s="132">
        <f>-1*F6+-1*F8+-1*F7</f>
        <v>795541.96653102059</v>
      </c>
      <c r="G23" s="132"/>
      <c r="H23" s="132">
        <f>-1*F6+-1*F8+-1*F7</f>
        <v>795541.96653102059</v>
      </c>
      <c r="I23" s="132"/>
      <c r="J23" s="149"/>
      <c r="K23" s="61"/>
      <c r="T23" s="10"/>
    </row>
    <row r="24" spans="1:20">
      <c r="A24" s="52" t="s">
        <v>37</v>
      </c>
      <c r="B24" s="138">
        <f t="shared" ref="B24" si="5">SUM(B13:B23)</f>
        <v>48110531.192908555</v>
      </c>
      <c r="C24" s="136">
        <v>49072741.265970558</v>
      </c>
      <c r="D24" s="142">
        <f>SUM(D13:D22)</f>
        <v>-3</v>
      </c>
      <c r="E24" s="147">
        <f>SUM(E13:E22)</f>
        <v>-0.99999999998544808</v>
      </c>
      <c r="F24" s="53">
        <f>SUM(F13:F23)</f>
        <v>50054195.653102048</v>
      </c>
      <c r="G24" s="53"/>
      <c r="H24" s="53">
        <f>SUM(H13:H23)</f>
        <v>50054196.653102055</v>
      </c>
      <c r="I24" s="53"/>
      <c r="J24" s="149"/>
      <c r="K24" s="157">
        <f>SUM(K13:K23)</f>
        <v>99.999999999999986</v>
      </c>
      <c r="L24" s="156"/>
    </row>
    <row r="25" spans="1:20" ht="15.6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20">
      <c r="A26" s="43" t="s">
        <v>38</v>
      </c>
    </row>
    <row r="27" spans="1:20">
      <c r="A27" s="43" t="s">
        <v>39</v>
      </c>
      <c r="B27" s="10"/>
      <c r="C27" s="10"/>
      <c r="D27" s="10"/>
      <c r="E27" s="10"/>
      <c r="F27" s="10"/>
      <c r="G27" s="10"/>
    </row>
  </sheetData>
  <mergeCells count="1">
    <mergeCell ref="A3:A4"/>
  </mergeCells>
  <pageMargins left="0.7" right="0.7" top="0.75" bottom="0.75" header="0.3" footer="0.3"/>
  <pageSetup paperSize="9" scale="77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zoomScaleNormal="100" workbookViewId="0">
      <selection activeCell="F6" sqref="F6"/>
    </sheetView>
  </sheetViews>
  <sheetFormatPr defaultRowHeight="14.4"/>
  <cols>
    <col min="4" max="4" width="10" customWidth="1"/>
    <col min="5" max="5" width="11.88671875" customWidth="1"/>
    <col min="6" max="6" width="12.6640625" bestFit="1" customWidth="1"/>
    <col min="7" max="7" width="10" bestFit="1" customWidth="1"/>
    <col min="10" max="10" width="10" bestFit="1" customWidth="1"/>
  </cols>
  <sheetData>
    <row r="1" spans="1:10">
      <c r="A1" s="2" t="s">
        <v>142</v>
      </c>
      <c r="D1" s="97"/>
      <c r="E1" t="s">
        <v>143</v>
      </c>
      <c r="F1" t="s">
        <v>144</v>
      </c>
      <c r="G1" t="s">
        <v>145</v>
      </c>
    </row>
    <row r="2" spans="1:10">
      <c r="D2" s="97"/>
      <c r="E2" s="68" t="s">
        <v>146</v>
      </c>
      <c r="F2" s="64" t="s">
        <v>147</v>
      </c>
      <c r="G2" s="86"/>
    </row>
    <row r="3" spans="1:10">
      <c r="A3" t="s">
        <v>25</v>
      </c>
      <c r="D3" s="1"/>
      <c r="E3" s="69">
        <v>10435</v>
      </c>
      <c r="F3" s="1">
        <v>10073</v>
      </c>
      <c r="G3" s="1">
        <f>(E3+E3+F3)/3</f>
        <v>10314.333333333334</v>
      </c>
      <c r="J3" s="44"/>
    </row>
    <row r="4" spans="1:10">
      <c r="A4" t="s">
        <v>26</v>
      </c>
      <c r="D4" s="1"/>
      <c r="E4" s="69">
        <v>14850</v>
      </c>
      <c r="F4" s="1">
        <v>14462</v>
      </c>
      <c r="G4" s="1">
        <f t="shared" ref="G4:G12" si="0">(E4+E4+F4)/3</f>
        <v>14720.666666666666</v>
      </c>
      <c r="J4" s="44"/>
    </row>
    <row r="5" spans="1:10">
      <c r="A5" t="s">
        <v>27</v>
      </c>
      <c r="D5" s="1"/>
      <c r="E5" s="69">
        <v>9282</v>
      </c>
      <c r="F5" s="1">
        <v>9318</v>
      </c>
      <c r="G5" s="1">
        <f t="shared" si="0"/>
        <v>9294</v>
      </c>
      <c r="J5" s="44"/>
    </row>
    <row r="6" spans="1:10">
      <c r="A6" t="s">
        <v>28</v>
      </c>
      <c r="D6" s="1"/>
      <c r="E6" s="69">
        <v>4992</v>
      </c>
      <c r="F6" s="1">
        <v>4826</v>
      </c>
      <c r="G6" s="1">
        <f t="shared" si="0"/>
        <v>4936.666666666667</v>
      </c>
      <c r="J6" s="44"/>
    </row>
    <row r="7" spans="1:10">
      <c r="A7" t="s">
        <v>29</v>
      </c>
      <c r="D7" s="1"/>
      <c r="E7" s="69">
        <v>10786</v>
      </c>
      <c r="F7" s="1">
        <v>10556</v>
      </c>
      <c r="G7" s="1">
        <f t="shared" si="0"/>
        <v>10709.333333333334</v>
      </c>
      <c r="J7" s="44"/>
    </row>
    <row r="8" spans="1:10">
      <c r="A8" t="s">
        <v>30</v>
      </c>
      <c r="D8" s="1"/>
      <c r="E8" s="69">
        <v>10671</v>
      </c>
      <c r="F8" s="1">
        <v>10603</v>
      </c>
      <c r="G8" s="1">
        <f t="shared" si="0"/>
        <v>10648.333333333334</v>
      </c>
      <c r="J8" s="44"/>
    </row>
    <row r="9" spans="1:10">
      <c r="A9" t="s">
        <v>31</v>
      </c>
      <c r="D9" s="1"/>
      <c r="E9" s="69">
        <v>9285</v>
      </c>
      <c r="F9" s="1">
        <v>9243</v>
      </c>
      <c r="G9" s="1">
        <f t="shared" si="0"/>
        <v>9271</v>
      </c>
      <c r="J9" s="44"/>
    </row>
    <row r="10" spans="1:10">
      <c r="A10" t="s">
        <v>32</v>
      </c>
      <c r="D10" s="1"/>
      <c r="E10" s="69">
        <v>10628</v>
      </c>
      <c r="F10" s="1">
        <v>10372</v>
      </c>
      <c r="G10" s="1">
        <f t="shared" si="0"/>
        <v>10542.666666666666</v>
      </c>
      <c r="J10" s="44"/>
    </row>
    <row r="11" spans="1:10">
      <c r="A11" t="s">
        <v>33</v>
      </c>
      <c r="D11" s="1"/>
      <c r="E11" s="69">
        <v>8284</v>
      </c>
      <c r="F11" s="1">
        <v>7997</v>
      </c>
      <c r="G11" s="1">
        <f t="shared" si="0"/>
        <v>8188.333333333333</v>
      </c>
      <c r="J11" s="44"/>
    </row>
    <row r="12" spans="1:10">
      <c r="A12" t="s">
        <v>34</v>
      </c>
      <c r="D12" s="1"/>
      <c r="E12" s="69">
        <v>6724</v>
      </c>
      <c r="F12" s="1">
        <v>6230</v>
      </c>
      <c r="G12" s="1">
        <f t="shared" si="0"/>
        <v>6559.333333333333</v>
      </c>
      <c r="J12" s="44"/>
    </row>
    <row r="13" spans="1:10">
      <c r="A13" t="s">
        <v>37</v>
      </c>
      <c r="D13" s="1"/>
      <c r="E13" s="1">
        <f>SUM(E3:E12)</f>
        <v>95937</v>
      </c>
      <c r="F13" s="1">
        <f t="shared" ref="F13" si="1">SUM(F3:F12)</f>
        <v>93680</v>
      </c>
      <c r="G13" s="1">
        <f>SUM(G3:G12)</f>
        <v>95184.666666666672</v>
      </c>
      <c r="J13" s="44"/>
    </row>
    <row r="14" spans="1:10">
      <c r="J14" s="10"/>
    </row>
    <row r="15" spans="1:10">
      <c r="J15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C555-2160-4156-BE6A-CD8D6524C97C}">
  <dimension ref="A1:N27"/>
  <sheetViews>
    <sheetView topLeftCell="A12" workbookViewId="0">
      <selection activeCell="D13" sqref="D13:D24"/>
    </sheetView>
  </sheetViews>
  <sheetFormatPr defaultRowHeight="14.4"/>
  <cols>
    <col min="1" max="1" width="27.88671875" customWidth="1"/>
    <col min="2" max="3" width="16.6640625" bestFit="1" customWidth="1"/>
    <col min="4" max="4" width="13.5546875" bestFit="1" customWidth="1"/>
    <col min="5" max="5" width="16.6640625" bestFit="1" customWidth="1"/>
    <col min="6" max="6" width="13.5546875" bestFit="1" customWidth="1"/>
    <col min="7" max="7" width="16.6640625" bestFit="1" customWidth="1"/>
    <col min="8" max="8" width="13.5546875" bestFit="1" customWidth="1"/>
    <col min="9" max="9" width="16.6640625" bestFit="1" customWidth="1"/>
    <col min="10" max="10" width="12.5546875" bestFit="1" customWidth="1"/>
    <col min="11" max="12" width="10.44140625" bestFit="1" customWidth="1"/>
  </cols>
  <sheetData>
    <row r="1" spans="1:14">
      <c r="A1" t="s">
        <v>0</v>
      </c>
    </row>
    <row r="2" spans="1:14">
      <c r="B2">
        <v>2021</v>
      </c>
      <c r="C2">
        <v>2022</v>
      </c>
      <c r="E2">
        <v>2023</v>
      </c>
      <c r="G2">
        <v>2024</v>
      </c>
      <c r="I2">
        <v>2025</v>
      </c>
    </row>
    <row r="3" spans="1:14">
      <c r="A3" t="s">
        <v>1</v>
      </c>
    </row>
    <row r="4" spans="1:14">
      <c r="C4">
        <v>2</v>
      </c>
      <c r="E4">
        <v>2</v>
      </c>
      <c r="G4">
        <v>2</v>
      </c>
      <c r="I4">
        <v>2</v>
      </c>
      <c r="J4" t="s">
        <v>2</v>
      </c>
    </row>
    <row r="5" spans="1:14">
      <c r="A5" t="s">
        <v>3</v>
      </c>
      <c r="B5" s="83">
        <v>48110531.192908563</v>
      </c>
      <c r="C5" s="83">
        <v>49072741.816766731</v>
      </c>
      <c r="D5" s="83"/>
      <c r="E5" s="83">
        <v>50054196.653102063</v>
      </c>
      <c r="F5" s="83"/>
      <c r="G5" s="83">
        <v>51055280.586164102</v>
      </c>
      <c r="H5" s="83"/>
      <c r="I5" s="83">
        <v>52076386.197887383</v>
      </c>
      <c r="J5" t="s">
        <v>4</v>
      </c>
    </row>
    <row r="6" spans="1:14">
      <c r="A6" t="s">
        <v>5</v>
      </c>
      <c r="B6" s="83"/>
      <c r="C6" s="83">
        <v>-490727.41816766729</v>
      </c>
      <c r="D6" s="83"/>
      <c r="E6" s="83">
        <v>-500541.96653102065</v>
      </c>
      <c r="F6" s="83"/>
      <c r="G6" s="83">
        <v>-510552.80586164101</v>
      </c>
      <c r="H6" s="83"/>
      <c r="I6" s="83">
        <v>-520763.86197887384</v>
      </c>
    </row>
    <row r="7" spans="1:14">
      <c r="A7" t="s">
        <v>6</v>
      </c>
      <c r="B7" s="83">
        <v>-95000</v>
      </c>
      <c r="C7" s="83">
        <v>0</v>
      </c>
      <c r="D7" s="83"/>
      <c r="E7" s="83">
        <v>-95000</v>
      </c>
      <c r="F7" s="83"/>
      <c r="G7" s="83">
        <v>-95000</v>
      </c>
      <c r="H7" s="83"/>
      <c r="I7" s="83">
        <v>-95000</v>
      </c>
      <c r="J7" t="s">
        <v>7</v>
      </c>
    </row>
    <row r="8" spans="1:14">
      <c r="A8" t="s">
        <v>8</v>
      </c>
      <c r="B8" s="83">
        <v>-200000</v>
      </c>
      <c r="C8" s="83">
        <v>-200000</v>
      </c>
      <c r="D8" s="83"/>
      <c r="E8" s="83">
        <v>-200000</v>
      </c>
      <c r="F8" s="83"/>
      <c r="G8" s="83">
        <v>-200000</v>
      </c>
      <c r="H8" s="83"/>
      <c r="I8" s="83">
        <v>-200000</v>
      </c>
    </row>
    <row r="9" spans="1:14">
      <c r="A9" t="s">
        <v>9</v>
      </c>
      <c r="B9" s="83">
        <v>47815531.192908563</v>
      </c>
      <c r="C9" s="83">
        <v>48382014.398599066</v>
      </c>
      <c r="D9" s="83"/>
      <c r="E9" s="83">
        <v>49258654.686571039</v>
      </c>
      <c r="F9" s="83"/>
      <c r="G9" s="83">
        <v>50249727.780302458</v>
      </c>
      <c r="H9" s="83"/>
      <c r="I9" s="83">
        <v>51260622.33590851</v>
      </c>
    </row>
    <row r="11" spans="1:14" ht="28.8">
      <c r="B11" s="7"/>
      <c r="D11" s="7"/>
      <c r="F11" s="7"/>
      <c r="H11" s="7" t="s">
        <v>13</v>
      </c>
      <c r="I11" s="7"/>
      <c r="J11" s="7"/>
      <c r="K11" s="7"/>
      <c r="L11" s="7"/>
      <c r="M11" s="7"/>
      <c r="N11" s="7"/>
    </row>
    <row r="12" spans="1:14" ht="115.2">
      <c r="B12" s="7" t="s">
        <v>14</v>
      </c>
      <c r="C12" s="7" t="s">
        <v>10</v>
      </c>
      <c r="D12" s="135" t="s">
        <v>18</v>
      </c>
      <c r="E12" s="7" t="s">
        <v>11</v>
      </c>
      <c r="F12" s="7" t="s">
        <v>19</v>
      </c>
      <c r="G12" s="7" t="s">
        <v>12</v>
      </c>
      <c r="H12" s="7" t="s">
        <v>20</v>
      </c>
      <c r="I12" s="7" t="s">
        <v>21</v>
      </c>
      <c r="J12" s="7" t="s">
        <v>22</v>
      </c>
      <c r="K12" s="7" t="s">
        <v>23</v>
      </c>
      <c r="L12" s="7" t="s">
        <v>24</v>
      </c>
      <c r="M12" s="7"/>
      <c r="N12" s="7"/>
    </row>
    <row r="13" spans="1:14">
      <c r="A13" t="s">
        <v>25</v>
      </c>
      <c r="B13" s="1">
        <v>4177827.1357164299</v>
      </c>
      <c r="C13" s="1">
        <v>4157200.226027979</v>
      </c>
      <c r="D13" s="3">
        <v>4206696.0456835907</v>
      </c>
      <c r="E13" s="1">
        <v>4136573.3163395282</v>
      </c>
      <c r="F13" s="1">
        <v>4283291.4842781276</v>
      </c>
      <c r="G13" s="1">
        <v>4115946.4066510778</v>
      </c>
      <c r="H13" s="1">
        <v>4325481.4592665387</v>
      </c>
      <c r="I13" s="1">
        <v>4412498.9586779783</v>
      </c>
      <c r="J13" s="1">
        <v>-61880.72906535212</v>
      </c>
      <c r="K13" s="134">
        <v>8.7373851790148827</v>
      </c>
      <c r="L13" s="134">
        <v>8.6079699340423037</v>
      </c>
    </row>
    <row r="14" spans="1:14">
      <c r="A14" t="s">
        <v>26</v>
      </c>
      <c r="B14" s="1">
        <v>6053976.5139491707</v>
      </c>
      <c r="C14" s="1">
        <v>6019218.9679529788</v>
      </c>
      <c r="D14" s="3">
        <v>6090942.0239818031</v>
      </c>
      <c r="E14" s="1">
        <v>5984461.4219567869</v>
      </c>
      <c r="F14" s="1">
        <v>6201934.4062090879</v>
      </c>
      <c r="G14" s="1">
        <v>5949703.8759605959</v>
      </c>
      <c r="H14" s="1">
        <v>6252592.0556223337</v>
      </c>
      <c r="I14" s="1">
        <v>6378378.0358984675</v>
      </c>
      <c r="J14" s="1">
        <v>-104272.6379885748</v>
      </c>
      <c r="K14" s="134">
        <v>12.661108980521011</v>
      </c>
      <c r="L14" s="134">
        <v>12.443036672674882</v>
      </c>
    </row>
    <row r="15" spans="1:14">
      <c r="A15" t="s">
        <v>27</v>
      </c>
      <c r="B15" s="1">
        <v>6292350.0248675449</v>
      </c>
      <c r="C15" s="1">
        <v>6219270.8326443816</v>
      </c>
      <c r="D15" s="3">
        <v>6293817.962509634</v>
      </c>
      <c r="E15" s="1">
        <v>6146191.6404212182</v>
      </c>
      <c r="F15" s="1">
        <v>6409180.636523772</v>
      </c>
      <c r="G15" s="1">
        <v>6073112.4481980558</v>
      </c>
      <c r="H15" s="1">
        <v>6382283.1250359444</v>
      </c>
      <c r="I15" s="1">
        <v>6510678.1541919876</v>
      </c>
      <c r="J15" s="1">
        <v>-219237.57666948903</v>
      </c>
      <c r="K15" s="134">
        <v>13.159636352216776</v>
      </c>
      <c r="L15" s="134">
        <v>12.701129751269526</v>
      </c>
    </row>
    <row r="16" spans="1:14">
      <c r="A16" t="s">
        <v>28</v>
      </c>
      <c r="B16" s="1">
        <v>4102382.1125983922</v>
      </c>
      <c r="C16" s="1">
        <v>4140160.0481311339</v>
      </c>
      <c r="D16" s="3">
        <v>4188762.0507050762</v>
      </c>
      <c r="E16" s="1">
        <v>4177937.9836638756</v>
      </c>
      <c r="F16" s="1">
        <v>4263974.2954891026</v>
      </c>
      <c r="G16" s="1">
        <v>4215715.9191966169</v>
      </c>
      <c r="H16" s="1">
        <v>4430330.0491360361</v>
      </c>
      <c r="I16" s="1">
        <v>4519456.8309922572</v>
      </c>
      <c r="J16" s="1">
        <v>113333.80659822468</v>
      </c>
      <c r="K16" s="134">
        <v>8.5796016696909767</v>
      </c>
      <c r="L16" s="134">
        <v>8.8166249745788559</v>
      </c>
    </row>
    <row r="17" spans="1:12">
      <c r="A17" t="s">
        <v>29</v>
      </c>
      <c r="B17" s="1">
        <v>7230024.1878989134</v>
      </c>
      <c r="C17" s="1">
        <v>7190167.2859894149</v>
      </c>
      <c r="D17" s="3">
        <v>7275823.2889031367</v>
      </c>
      <c r="E17" s="1">
        <v>7150310.3840799164</v>
      </c>
      <c r="F17" s="1">
        <v>7408377.0915693305</v>
      </c>
      <c r="G17" s="1">
        <v>7110453.4821704179</v>
      </c>
      <c r="H17" s="1">
        <v>7472433.2305215653</v>
      </c>
      <c r="I17" s="1">
        <v>7622759.2602045573</v>
      </c>
      <c r="J17" s="1">
        <v>-119570.70572849549</v>
      </c>
      <c r="K17" s="134">
        <v>15.120660604458969</v>
      </c>
      <c r="L17" s="134">
        <v>14.870594450166767</v>
      </c>
    </row>
    <row r="18" spans="1:12">
      <c r="A18" t="s">
        <v>30</v>
      </c>
      <c r="B18" s="1">
        <v>5147561.990750663</v>
      </c>
      <c r="C18" s="1">
        <v>5000534.2191343168</v>
      </c>
      <c r="D18" s="3">
        <v>5061518.7433100836</v>
      </c>
      <c r="E18" s="1">
        <v>4853506.4475179706</v>
      </c>
      <c r="F18" s="1">
        <v>5155893.1048061345</v>
      </c>
      <c r="G18" s="1">
        <v>4706478.6759016244</v>
      </c>
      <c r="H18" s="1">
        <v>4946076.6102661258</v>
      </c>
      <c r="I18" s="1">
        <v>5045578.8789906232</v>
      </c>
      <c r="J18" s="1">
        <v>-441083.31484903861</v>
      </c>
      <c r="K18" s="134">
        <v>10.765460222502119</v>
      </c>
      <c r="L18" s="134">
        <v>9.8429918504055127</v>
      </c>
    </row>
    <row r="19" spans="1:12">
      <c r="A19" t="s">
        <v>31</v>
      </c>
      <c r="B19" s="1">
        <v>4507858.2272233926</v>
      </c>
      <c r="C19" s="1">
        <v>4664090.0197352413</v>
      </c>
      <c r="D19" s="3">
        <v>4717495.8047521096</v>
      </c>
      <c r="E19" s="1">
        <v>4820321.81224709</v>
      </c>
      <c r="F19" s="1">
        <v>4800141.9666969972</v>
      </c>
      <c r="G19" s="1">
        <v>4976553.6047589397</v>
      </c>
      <c r="H19" s="1">
        <v>5229900.5433225213</v>
      </c>
      <c r="I19" s="1">
        <v>5335112.6154897716</v>
      </c>
      <c r="J19" s="1">
        <v>468695.37753554713</v>
      </c>
      <c r="K19" s="134">
        <v>9.4276025273811985</v>
      </c>
      <c r="L19" s="134">
        <v>10.407818657621874</v>
      </c>
    </row>
    <row r="20" spans="1:12">
      <c r="A20" t="s">
        <v>32</v>
      </c>
      <c r="B20" s="1">
        <v>2979995.1065100986</v>
      </c>
      <c r="C20" s="1">
        <v>3015941.7427750849</v>
      </c>
      <c r="D20" s="3">
        <v>3051246.5305451355</v>
      </c>
      <c r="E20" s="1">
        <v>3051888.3790400713</v>
      </c>
      <c r="F20" s="1">
        <v>3105881.1587329227</v>
      </c>
      <c r="G20" s="1">
        <v>3087835.0153050576</v>
      </c>
      <c r="H20" s="1">
        <v>3245030.8600697722</v>
      </c>
      <c r="I20" s="1">
        <v>3310312.4879337158</v>
      </c>
      <c r="J20" s="1">
        <v>107839.90879495908</v>
      </c>
      <c r="K20" s="134">
        <v>6.2322743932039737</v>
      </c>
      <c r="L20" s="134">
        <v>6.4578078397905303</v>
      </c>
    </row>
    <row r="21" spans="1:12">
      <c r="A21" t="s">
        <v>33</v>
      </c>
      <c r="B21" s="1">
        <v>3888335.886241979</v>
      </c>
      <c r="C21" s="1">
        <v>3880769.3668219526</v>
      </c>
      <c r="D21" s="3">
        <v>3926835.507314113</v>
      </c>
      <c r="E21" s="1">
        <v>3873202.8474019263</v>
      </c>
      <c r="F21" s="1">
        <v>3998123.4718312253</v>
      </c>
      <c r="G21" s="1">
        <v>3865636.3279818995</v>
      </c>
      <c r="H21" s="1">
        <v>4062428.5675667105</v>
      </c>
      <c r="I21" s="1">
        <v>4144154.1231646752</v>
      </c>
      <c r="J21" s="1">
        <v>-22699.558260079473</v>
      </c>
      <c r="K21" s="134">
        <v>8.1319516676595072</v>
      </c>
      <c r="L21" s="134">
        <v>8.0844787564384664</v>
      </c>
    </row>
    <row r="22" spans="1:12">
      <c r="A22" t="s">
        <v>34</v>
      </c>
      <c r="B22" s="1">
        <v>3435220.00715198</v>
      </c>
      <c r="C22" s="1">
        <v>3528177.9328998942</v>
      </c>
      <c r="D22" s="3">
        <v>3568875.8900982076</v>
      </c>
      <c r="E22" s="1">
        <v>3621135.8586478084</v>
      </c>
      <c r="F22" s="1">
        <v>3631856.519638164</v>
      </c>
      <c r="G22" s="1">
        <v>3714093.7843957227</v>
      </c>
      <c r="H22" s="1">
        <v>3903171.2794949161</v>
      </c>
      <c r="I22" s="1">
        <v>3981692.9903644826</v>
      </c>
      <c r="J22" s="1">
        <v>278873.77724374272</v>
      </c>
      <c r="K22" s="134">
        <v>7.1843184033506073</v>
      </c>
      <c r="L22" s="134">
        <v>7.7675471130112914</v>
      </c>
    </row>
    <row r="23" spans="1:12">
      <c r="A23" t="s">
        <v>35</v>
      </c>
      <c r="B23" s="1">
        <v>295000</v>
      </c>
      <c r="C23" s="1">
        <v>295000</v>
      </c>
      <c r="D23" s="3">
        <v>690727.41816766723</v>
      </c>
      <c r="E23" s="1">
        <v>295000</v>
      </c>
      <c r="F23" s="1">
        <v>795541.96653102059</v>
      </c>
      <c r="G23" s="1">
        <v>295000</v>
      </c>
      <c r="H23" s="1">
        <v>805552.80586164095</v>
      </c>
      <c r="I23" s="1">
        <v>815763.86197887384</v>
      </c>
      <c r="J23" s="1">
        <v>0</v>
      </c>
      <c r="K23" s="134">
        <v>0.61695435068961646</v>
      </c>
      <c r="L23" s="134">
        <v>0.6169543720100602</v>
      </c>
    </row>
    <row r="24" spans="1:12">
      <c r="A24" t="s">
        <v>37</v>
      </c>
      <c r="B24" s="1">
        <v>48110531.192908555</v>
      </c>
      <c r="C24" s="1">
        <v>48110530.642112374</v>
      </c>
      <c r="D24" s="3">
        <v>49072741.265970558</v>
      </c>
      <c r="E24" s="1">
        <v>48110530.091316186</v>
      </c>
      <c r="F24" s="1">
        <v>50054196.102305889</v>
      </c>
      <c r="G24" s="1">
        <v>48110529.540520005</v>
      </c>
      <c r="H24" s="1">
        <v>51055280.586164109</v>
      </c>
      <c r="I24" s="1">
        <v>52076386.197887398</v>
      </c>
      <c r="J24" s="1">
        <v>-1.6523885559290648</v>
      </c>
      <c r="K24" s="134">
        <v>100.61695435068962</v>
      </c>
      <c r="L24" s="134">
        <v>100.61695437201007</v>
      </c>
    </row>
    <row r="26" spans="1:12">
      <c r="A26" t="s">
        <v>38</v>
      </c>
    </row>
    <row r="27" spans="1:12">
      <c r="A2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opLeftCell="A12" zoomScale="70" zoomScaleNormal="70" workbookViewId="0">
      <selection activeCell="J20" sqref="J20"/>
    </sheetView>
  </sheetViews>
  <sheetFormatPr defaultRowHeight="14.4"/>
  <cols>
    <col min="1" max="1" width="21.44140625" customWidth="1"/>
    <col min="2" max="2" width="13.109375" customWidth="1"/>
    <col min="3" max="3" width="17.5546875" customWidth="1"/>
    <col min="4" max="4" width="16.6640625" customWidth="1"/>
    <col min="5" max="5" width="16.33203125" customWidth="1"/>
    <col min="6" max="6" width="16" customWidth="1"/>
    <col min="7" max="7" width="11.109375" customWidth="1"/>
    <col min="8" max="8" width="12.109375" customWidth="1"/>
    <col min="9" max="9" width="11.33203125" customWidth="1"/>
  </cols>
  <sheetData>
    <row r="1" spans="1:11" ht="21">
      <c r="A1" s="39" t="s">
        <v>40</v>
      </c>
      <c r="B1" s="39"/>
      <c r="C1" s="39"/>
      <c r="D1" s="39"/>
      <c r="E1" s="39"/>
      <c r="F1" s="39"/>
      <c r="G1" s="39"/>
      <c r="H1" s="39"/>
      <c r="I1" s="39"/>
    </row>
    <row r="2" spans="1:11" ht="21">
      <c r="A2" s="39"/>
      <c r="B2" s="2">
        <v>2021</v>
      </c>
      <c r="C2" s="124">
        <v>2022</v>
      </c>
      <c r="D2" s="124"/>
      <c r="E2" s="124">
        <v>2023</v>
      </c>
      <c r="F2" s="124">
        <v>2024</v>
      </c>
      <c r="G2" s="39"/>
      <c r="H2" s="2"/>
      <c r="I2" s="39"/>
    </row>
    <row r="3" spans="1:11" ht="23.4">
      <c r="A3" s="158" t="s">
        <v>1</v>
      </c>
      <c r="B3" s="37"/>
      <c r="C3" s="59"/>
      <c r="D3" s="59"/>
      <c r="E3" s="59"/>
      <c r="H3" s="37"/>
      <c r="I3" s="37"/>
    </row>
    <row r="4" spans="1:11" ht="23.4">
      <c r="A4" s="158"/>
      <c r="C4" s="123">
        <v>1</v>
      </c>
      <c r="D4" s="123"/>
      <c r="E4" s="123"/>
      <c r="F4" s="123"/>
      <c r="G4" t="s">
        <v>41</v>
      </c>
      <c r="H4" s="37"/>
    </row>
    <row r="5" spans="1:11" ht="23.4">
      <c r="A5" t="s">
        <v>3</v>
      </c>
      <c r="B5" s="123">
        <v>48110531.192908563</v>
      </c>
      <c r="C5" s="123">
        <f>B5+B5*(C4/100)</f>
        <v>48591636.504837647</v>
      </c>
      <c r="D5" s="123"/>
      <c r="E5" s="123"/>
      <c r="F5" s="123"/>
      <c r="G5" s="123" t="s">
        <v>4</v>
      </c>
      <c r="H5" s="37"/>
      <c r="I5" s="58"/>
    </row>
    <row r="6" spans="1:11" ht="23.4">
      <c r="A6" t="s">
        <v>5</v>
      </c>
      <c r="B6" s="123"/>
      <c r="C6" s="123">
        <f>-(C5*1/100)</f>
        <v>-485916.36504837649</v>
      </c>
      <c r="D6" s="123"/>
      <c r="E6" s="123"/>
      <c r="F6" s="123"/>
      <c r="G6" s="3"/>
      <c r="H6" s="37"/>
      <c r="I6" s="58"/>
    </row>
    <row r="7" spans="1:11">
      <c r="A7" t="s">
        <v>6</v>
      </c>
      <c r="B7" s="123">
        <v>-95000</v>
      </c>
      <c r="C7" s="123">
        <v>0</v>
      </c>
      <c r="D7" s="123"/>
      <c r="E7" s="123"/>
      <c r="F7" s="123"/>
      <c r="G7" s="1" t="s">
        <v>7</v>
      </c>
      <c r="H7" s="1"/>
    </row>
    <row r="8" spans="1:11">
      <c r="A8" t="s">
        <v>8</v>
      </c>
      <c r="B8" s="123">
        <v>-200000</v>
      </c>
      <c r="C8" s="123">
        <v>-200000</v>
      </c>
      <c r="D8" s="123"/>
      <c r="E8" s="123"/>
      <c r="F8" s="123"/>
      <c r="G8" s="10"/>
      <c r="H8" s="1"/>
    </row>
    <row r="9" spans="1:11">
      <c r="A9" s="2" t="s">
        <v>9</v>
      </c>
      <c r="B9" s="123">
        <f>SUM(B5:B8)</f>
        <v>47815531.192908563</v>
      </c>
      <c r="C9" s="123">
        <f>SUM(C5:C8)</f>
        <v>47905720.139789268</v>
      </c>
      <c r="D9" s="123"/>
      <c r="E9" s="123">
        <f>SUM(E5:E8)</f>
        <v>0</v>
      </c>
      <c r="F9" s="123">
        <f>SUM(F5:F8)</f>
        <v>0</v>
      </c>
      <c r="G9" s="3"/>
    </row>
    <row r="10" spans="1:11">
      <c r="G10" s="20"/>
    </row>
    <row r="11" spans="1:11" ht="23.4">
      <c r="A11" s="2"/>
      <c r="B11" s="37"/>
      <c r="C11" s="159" t="s">
        <v>10</v>
      </c>
      <c r="D11" s="127"/>
      <c r="E11" s="161" t="s">
        <v>11</v>
      </c>
      <c r="F11" s="163" t="s">
        <v>12</v>
      </c>
      <c r="G11" s="37"/>
      <c r="H11" s="37"/>
      <c r="I11" s="37"/>
    </row>
    <row r="12" spans="1:11" ht="100.8">
      <c r="A12" s="47"/>
      <c r="B12" s="121" t="s">
        <v>14</v>
      </c>
      <c r="C12" s="160"/>
      <c r="D12" s="128" t="s">
        <v>42</v>
      </c>
      <c r="E12" s="162"/>
      <c r="F12" s="164"/>
      <c r="G12" s="60" t="s">
        <v>22</v>
      </c>
      <c r="H12" s="60" t="s">
        <v>23</v>
      </c>
      <c r="I12" s="60" t="s">
        <v>24</v>
      </c>
      <c r="K12" s="131"/>
    </row>
    <row r="13" spans="1:11">
      <c r="A13" s="48" t="s">
        <v>25</v>
      </c>
      <c r="B13" s="40">
        <v>4177827.1357164299</v>
      </c>
      <c r="C13" s="49">
        <f t="shared" ref="C13:C22" si="0">B13-(-G13/3)</f>
        <v>4162251.1725891321</v>
      </c>
      <c r="D13" s="129">
        <f>C9*H13/100-(-G13/3)</f>
        <v>4170131.3282669974</v>
      </c>
      <c r="E13" s="49">
        <f t="shared" ref="E13:E22" si="1">C13-(-G13/3)</f>
        <v>4146675.2094618343</v>
      </c>
      <c r="F13" s="40">
        <f>'19-19-21 BB-Model'!J27</f>
        <v>4131099.2463345369</v>
      </c>
      <c r="G13" s="65">
        <f t="shared" ref="G13:G23" si="2">F13-B13</f>
        <v>-46727.889381892979</v>
      </c>
      <c r="H13" s="61">
        <f>B13/(B24-295000)*100</f>
        <v>8.7373851790148827</v>
      </c>
      <c r="I13" s="122">
        <f>F13/(F24-295000)*100</f>
        <v>8.6396601397747705</v>
      </c>
      <c r="K13" s="10"/>
    </row>
    <row r="14" spans="1:11">
      <c r="A14" s="50" t="s">
        <v>26</v>
      </c>
      <c r="B14" s="40">
        <v>6053976.5139491707</v>
      </c>
      <c r="C14" s="49">
        <f t="shared" si="0"/>
        <v>5998662.9174878737</v>
      </c>
      <c r="D14" s="129">
        <f>C9*H14/100-(-G14/3)</f>
        <v>6010081.8383408235</v>
      </c>
      <c r="E14" s="49">
        <f t="shared" si="1"/>
        <v>5943349.3210265767</v>
      </c>
      <c r="F14" s="40">
        <f>'19-19-21 BB-Model'!J28</f>
        <v>5888035.7245652787</v>
      </c>
      <c r="G14" s="65">
        <f t="shared" si="2"/>
        <v>-165940.78938389197</v>
      </c>
      <c r="H14" s="61">
        <f>B14/(B24-295000)*100</f>
        <v>12.661108980521011</v>
      </c>
      <c r="I14" s="122">
        <f>F14/(F24-295000)*100</f>
        <v>12.314065704481258</v>
      </c>
      <c r="K14" s="10"/>
    </row>
    <row r="15" spans="1:11">
      <c r="A15" s="50" t="s">
        <v>27</v>
      </c>
      <c r="B15" s="40">
        <v>6292350.0248675449</v>
      </c>
      <c r="C15" s="49">
        <f t="shared" si="0"/>
        <v>6226839.837064893</v>
      </c>
      <c r="D15" s="129">
        <f>C9*H15/100-(-G15/3)</f>
        <v>6238708.3745042896</v>
      </c>
      <c r="E15" s="49">
        <f t="shared" si="1"/>
        <v>6161329.6492622411</v>
      </c>
      <c r="F15" s="40">
        <f>'19-19-21 BB-Model'!J29</f>
        <v>6095819.4614595883</v>
      </c>
      <c r="G15" s="65">
        <f t="shared" si="2"/>
        <v>-196530.56340795662</v>
      </c>
      <c r="H15" s="61">
        <f>B15/(B24-295000)*100</f>
        <v>13.159636352216776</v>
      </c>
      <c r="I15" s="122">
        <f>F15/(F24-295000)*100</f>
        <v>12.748618534683063</v>
      </c>
      <c r="K15" s="10"/>
    </row>
    <row r="16" spans="1:11">
      <c r="A16" s="50" t="s">
        <v>28</v>
      </c>
      <c r="B16" s="40">
        <v>4102382.1125983922</v>
      </c>
      <c r="C16" s="49">
        <f t="shared" si="0"/>
        <v>4140260.416547406</v>
      </c>
      <c r="D16" s="129">
        <f>C9*H16/100-(-G16/3)</f>
        <v>4147998.2689398602</v>
      </c>
      <c r="E16" s="49">
        <f t="shared" si="1"/>
        <v>4178138.7204964198</v>
      </c>
      <c r="F16" s="40">
        <f>'19-19-21 BB-Model'!J30</f>
        <v>4216017.0244454341</v>
      </c>
      <c r="G16" s="65">
        <f t="shared" si="2"/>
        <v>113634.91184704192</v>
      </c>
      <c r="H16" s="61">
        <f>B16/(B24-295000)*100</f>
        <v>8.5796016696909767</v>
      </c>
      <c r="I16" s="122">
        <f>F16/(F24-295000)*100</f>
        <v>8.8172546972896786</v>
      </c>
      <c r="K16" s="10"/>
    </row>
    <row r="17" spans="1:11">
      <c r="A17" s="50" t="s">
        <v>29</v>
      </c>
      <c r="B17" s="40">
        <v>7230024.1878989134</v>
      </c>
      <c r="C17" s="49">
        <f t="shared" si="0"/>
        <v>7195806.9280303298</v>
      </c>
      <c r="D17" s="129">
        <f>C9*H17/100-(-G17/3)</f>
        <v>7209444.0925908983</v>
      </c>
      <c r="E17" s="49">
        <f t="shared" si="1"/>
        <v>7161589.6681617461</v>
      </c>
      <c r="F17" s="40">
        <f>'19-19-21 BB-Model'!J31</f>
        <v>7127372.4082931615</v>
      </c>
      <c r="G17" s="65">
        <f t="shared" si="2"/>
        <v>-102651.77960575186</v>
      </c>
      <c r="H17" s="61">
        <f>B17/(B24-295000)*100</f>
        <v>15.120660604458969</v>
      </c>
      <c r="I17" s="122">
        <f>F17/(F24-295000)*100</f>
        <v>14.905978197424874</v>
      </c>
      <c r="K17" s="10"/>
    </row>
    <row r="18" spans="1:11">
      <c r="A18" s="48" t="s">
        <v>30</v>
      </c>
      <c r="B18" s="40">
        <v>5147561.990750663</v>
      </c>
      <c r="C18" s="49">
        <f t="shared" si="0"/>
        <v>5098251.1264711572</v>
      </c>
      <c r="D18" s="129">
        <f>C9*H18/100-(-G18/3)</f>
        <v>5107960.3816726943</v>
      </c>
      <c r="E18" s="49">
        <f t="shared" si="1"/>
        <v>5048940.2621916514</v>
      </c>
      <c r="F18" s="40">
        <f>'19-19-21 BB-Model'!J32</f>
        <v>4999629.3979121456</v>
      </c>
      <c r="G18" s="65">
        <f t="shared" si="2"/>
        <v>-147932.59283851739</v>
      </c>
      <c r="H18" s="61">
        <f>B18/(B24-295000)*100</f>
        <v>10.765460222502119</v>
      </c>
      <c r="I18" s="122">
        <f>F18/(F24-295000)*100</f>
        <v>10.456078696514993</v>
      </c>
      <c r="K18" s="10"/>
    </row>
    <row r="19" spans="1:11">
      <c r="A19" s="50" t="s">
        <v>31</v>
      </c>
      <c r="B19" s="40">
        <v>4507858.2272233926</v>
      </c>
      <c r="C19" s="49">
        <f t="shared" si="0"/>
        <v>4663845.3832530677</v>
      </c>
      <c r="D19" s="129">
        <f>C9*H19/100-(-G19/3)</f>
        <v>4672348.0386886122</v>
      </c>
      <c r="E19" s="49">
        <f t="shared" si="1"/>
        <v>4819832.5392827429</v>
      </c>
      <c r="F19" s="40">
        <f>'19-19-21 BB-Model'!J33</f>
        <v>4975819.695312419</v>
      </c>
      <c r="G19" s="65">
        <f t="shared" si="2"/>
        <v>467961.4680890264</v>
      </c>
      <c r="H19" s="61">
        <f>B19/(B24-295000)*100</f>
        <v>9.4276025273811985</v>
      </c>
      <c r="I19" s="122">
        <f>F19/(F24-295000)*100</f>
        <v>10.40628378087038</v>
      </c>
      <c r="K19" s="10"/>
    </row>
    <row r="20" spans="1:11">
      <c r="A20" s="50" t="s">
        <v>32</v>
      </c>
      <c r="B20" s="40">
        <v>2979995.1065100986</v>
      </c>
      <c r="C20" s="49">
        <f t="shared" si="0"/>
        <v>3002048.0619241018</v>
      </c>
      <c r="D20" s="129">
        <f>C9*H20/100-(-G20/3)</f>
        <v>3007668.8845660486</v>
      </c>
      <c r="E20" s="49">
        <f t="shared" si="1"/>
        <v>3024101.017338105</v>
      </c>
      <c r="F20" s="40">
        <f>'19-19-21 BB-Model'!J34</f>
        <v>3046153.9727521078</v>
      </c>
      <c r="G20" s="65">
        <f t="shared" si="2"/>
        <v>66158.866242009215</v>
      </c>
      <c r="H20" s="61">
        <f>B20/(B24-295000)*100</f>
        <v>6.2322743932039737</v>
      </c>
      <c r="I20" s="122">
        <f>F20/(F24-295000)*100</f>
        <v>6.3706373264583949</v>
      </c>
      <c r="K20" s="10"/>
    </row>
    <row r="21" spans="1:11">
      <c r="A21" s="50" t="s">
        <v>33</v>
      </c>
      <c r="B21" s="40">
        <v>3888335.886241979</v>
      </c>
      <c r="C21" s="49">
        <f t="shared" si="0"/>
        <v>3869531.7004877208</v>
      </c>
      <c r="D21" s="129">
        <f>C9*H21/100-(-G21/3)</f>
        <v>3876865.8220576313</v>
      </c>
      <c r="E21" s="49">
        <f t="shared" si="1"/>
        <v>3850727.5147334626</v>
      </c>
      <c r="F21" s="40">
        <f>'19-19-21 BB-Model'!J35</f>
        <v>3831923.3289792044</v>
      </c>
      <c r="G21" s="65">
        <f t="shared" si="2"/>
        <v>-56412.557262774557</v>
      </c>
      <c r="H21" s="61">
        <f>B21/(B24-295000)*100</f>
        <v>8.1319516676595072</v>
      </c>
      <c r="I21" s="122">
        <f>F21/(F24-295000)*100</f>
        <v>8.0139723763425899</v>
      </c>
      <c r="K21" s="10"/>
    </row>
    <row r="22" spans="1:11">
      <c r="A22" s="50" t="s">
        <v>34</v>
      </c>
      <c r="B22" s="40">
        <f>3635220.00715198-200000</f>
        <v>3435220.00715198</v>
      </c>
      <c r="C22" s="49">
        <f t="shared" si="0"/>
        <v>3458033.0982566965</v>
      </c>
      <c r="D22" s="129">
        <f>C9*H22/100-(-G22/3)</f>
        <v>3464512.5593652353</v>
      </c>
      <c r="E22" s="49">
        <f t="shared" si="1"/>
        <v>3480846.189361413</v>
      </c>
      <c r="F22" s="40">
        <f>'19-19-21 BB-Model'!J36</f>
        <v>3503659.2804661291</v>
      </c>
      <c r="G22" s="65">
        <f t="shared" si="2"/>
        <v>68439.273314149119</v>
      </c>
      <c r="H22" s="61">
        <f>B22/(B24-295000)*100</f>
        <v>7.1843184033506073</v>
      </c>
      <c r="I22" s="122">
        <f>F22/(F24-295000)*100</f>
        <v>7.3274505461599997</v>
      </c>
      <c r="K22" s="10"/>
    </row>
    <row r="23" spans="1:11" ht="43.2">
      <c r="A23" s="50" t="s">
        <v>35</v>
      </c>
      <c r="B23" s="40">
        <v>295000</v>
      </c>
      <c r="C23" s="51">
        <v>295000</v>
      </c>
      <c r="D23" s="130">
        <f>-1*C6+-1*C8</f>
        <v>685916.36504837649</v>
      </c>
      <c r="E23" s="51">
        <v>295000</v>
      </c>
      <c r="F23" s="120">
        <v>295000</v>
      </c>
      <c r="G23" s="65">
        <f t="shared" si="2"/>
        <v>0</v>
      </c>
      <c r="H23" s="61">
        <f>B23/(B24-295000)*100</f>
        <v>0.61695435068961646</v>
      </c>
      <c r="I23" s="122">
        <f>F23/(F24-295000)*100</f>
        <v>0.6169543720100602</v>
      </c>
      <c r="K23" s="10"/>
    </row>
    <row r="24" spans="1:11">
      <c r="A24" s="52" t="s">
        <v>37</v>
      </c>
      <c r="B24" s="125">
        <f t="shared" ref="B24:I24" si="3">SUM(B13:B23)</f>
        <v>48110531.192908555</v>
      </c>
      <c r="C24" s="53">
        <f t="shared" si="3"/>
        <v>48110530.642112382</v>
      </c>
      <c r="D24" s="53">
        <f>SUM(D13:D23)</f>
        <v>48591635.954041474</v>
      </c>
      <c r="E24" s="53">
        <f t="shared" si="3"/>
        <v>48110530.091316193</v>
      </c>
      <c r="F24" s="125">
        <f t="shared" si="3"/>
        <v>48110529.540520005</v>
      </c>
      <c r="G24" s="66">
        <f t="shared" si="3"/>
        <v>-1.6523885587230325</v>
      </c>
      <c r="H24" s="54">
        <f t="shared" si="3"/>
        <v>100.61695435068962</v>
      </c>
      <c r="I24" s="54">
        <f t="shared" si="3"/>
        <v>100.61695437201004</v>
      </c>
    </row>
    <row r="25" spans="1:11" ht="15.6">
      <c r="A25" s="41"/>
      <c r="B25" s="42"/>
      <c r="C25" s="42"/>
      <c r="D25" s="42"/>
      <c r="E25" s="42"/>
      <c r="F25" s="42"/>
      <c r="G25" s="42"/>
      <c r="H25" s="42"/>
      <c r="I25" s="42"/>
    </row>
    <row r="26" spans="1:11">
      <c r="A26" s="43" t="s">
        <v>38</v>
      </c>
    </row>
    <row r="27" spans="1:11">
      <c r="A27" s="43" t="s">
        <v>39</v>
      </c>
      <c r="B27" s="10"/>
    </row>
  </sheetData>
  <mergeCells count="4">
    <mergeCell ref="A3:A4"/>
    <mergeCell ref="C11:C12"/>
    <mergeCell ref="E11:E12"/>
    <mergeCell ref="F11:F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0"/>
  <sheetViews>
    <sheetView topLeftCell="A5" zoomScale="85" zoomScaleNormal="85" workbookViewId="0">
      <selection activeCell="K27" sqref="K27:K36"/>
    </sheetView>
  </sheetViews>
  <sheetFormatPr defaultColWidth="9.109375" defaultRowHeight="14.4"/>
  <cols>
    <col min="1" max="1" width="24.44140625" style="2" customWidth="1"/>
    <col min="2" max="2" width="7.109375" customWidth="1"/>
    <col min="3" max="3" width="14.33203125" customWidth="1"/>
    <col min="4" max="4" width="12.88671875" customWidth="1"/>
    <col min="5" max="5" width="12.44140625" customWidth="1"/>
    <col min="6" max="6" width="7" customWidth="1"/>
    <col min="7" max="7" width="12.109375" customWidth="1"/>
    <col min="8" max="8" width="11" customWidth="1"/>
    <col min="9" max="9" width="12.88671875" customWidth="1"/>
    <col min="10" max="10" width="12.44140625" style="58" customWidth="1"/>
    <col min="11" max="11" width="9.5546875" customWidth="1"/>
    <col min="12" max="12" width="14.6640625" customWidth="1"/>
    <col min="13" max="13" width="11.109375" customWidth="1"/>
    <col min="14" max="14" width="12.33203125" customWidth="1"/>
    <col min="15" max="15" width="11.33203125" bestFit="1" customWidth="1"/>
    <col min="16" max="16" width="4.6640625" customWidth="1"/>
    <col min="17" max="17" width="14.6640625" customWidth="1"/>
    <col min="18" max="18" width="14.109375" bestFit="1" customWidth="1"/>
    <col min="19" max="19" width="15.88671875" bestFit="1" customWidth="1"/>
    <col min="20" max="20" width="13" customWidth="1"/>
    <col min="21" max="21" width="11.6640625" bestFit="1" customWidth="1"/>
    <col min="22" max="22" width="4.6640625" bestFit="1" customWidth="1"/>
    <col min="23" max="23" width="10.33203125" bestFit="1" customWidth="1"/>
    <col min="24" max="24" width="4.6640625" bestFit="1" customWidth="1"/>
    <col min="25" max="25" width="18.5546875" bestFit="1" customWidth="1"/>
    <col min="26" max="26" width="4.6640625" bestFit="1" customWidth="1"/>
    <col min="27" max="27" width="1.44140625" bestFit="1" customWidth="1"/>
  </cols>
  <sheetData>
    <row r="1" spans="1:17" ht="23.4">
      <c r="A1" s="37" t="s">
        <v>43</v>
      </c>
      <c r="B1" s="37"/>
      <c r="C1" s="37"/>
      <c r="D1" s="37"/>
      <c r="E1" s="37"/>
      <c r="J1"/>
    </row>
    <row r="2" spans="1:17" ht="23.4">
      <c r="A2" s="37" t="s">
        <v>44</v>
      </c>
      <c r="B2" s="37"/>
      <c r="C2" s="37"/>
      <c r="D2" s="37"/>
      <c r="E2" s="37"/>
      <c r="J2"/>
    </row>
    <row r="3" spans="1:17" ht="23.4">
      <c r="A3" s="37"/>
      <c r="B3" s="37"/>
      <c r="C3" s="37"/>
      <c r="D3" s="37"/>
      <c r="E3" s="37"/>
      <c r="J3"/>
    </row>
    <row r="4" spans="1:17" ht="15.75" customHeight="1">
      <c r="A4" s="2" t="s">
        <v>45</v>
      </c>
      <c r="B4" s="37"/>
      <c r="C4" s="70">
        <v>48110531.192908555</v>
      </c>
      <c r="D4" s="37"/>
      <c r="E4" s="37"/>
      <c r="F4" t="s">
        <v>46</v>
      </c>
      <c r="J4"/>
    </row>
    <row r="5" spans="1:17" ht="18" customHeight="1">
      <c r="A5" s="2" t="s">
        <v>47</v>
      </c>
      <c r="B5" s="37"/>
      <c r="C5" s="108">
        <v>-295000</v>
      </c>
      <c r="D5" s="37"/>
      <c r="E5" s="70"/>
      <c r="F5" t="s">
        <v>48</v>
      </c>
      <c r="J5"/>
    </row>
    <row r="6" spans="1:17" ht="15" customHeight="1">
      <c r="C6" s="109">
        <f>SUM(C4:C5)</f>
        <v>47815531.192908555</v>
      </c>
      <c r="D6" s="37"/>
      <c r="E6" s="37"/>
      <c r="F6" s="2" t="s">
        <v>49</v>
      </c>
      <c r="J6"/>
    </row>
    <row r="7" spans="1:17">
      <c r="D7" s="72"/>
      <c r="E7" s="72"/>
      <c r="J7"/>
    </row>
    <row r="8" spans="1:17">
      <c r="C8" s="71" t="s">
        <v>50</v>
      </c>
      <c r="D8" s="73"/>
      <c r="E8" s="72"/>
      <c r="G8" s="45" t="s">
        <v>51</v>
      </c>
      <c r="H8" s="2"/>
      <c r="J8"/>
    </row>
    <row r="9" spans="1:17" s="4" customFormat="1" ht="75.75" customHeight="1">
      <c r="A9" s="165"/>
      <c r="B9" s="165"/>
      <c r="C9" s="46" t="s">
        <v>52</v>
      </c>
      <c r="D9" s="46" t="s">
        <v>53</v>
      </c>
      <c r="E9" s="46" t="s">
        <v>37</v>
      </c>
      <c r="F9" s="55" t="s">
        <v>54</v>
      </c>
      <c r="G9" s="4" t="s">
        <v>55</v>
      </c>
      <c r="H9" s="46" t="s">
        <v>56</v>
      </c>
      <c r="I9" s="4" t="s">
        <v>37</v>
      </c>
      <c r="J9" s="55" t="s">
        <v>57</v>
      </c>
    </row>
    <row r="10" spans="1:17" s="4" customFormat="1" ht="15.75" customHeight="1">
      <c r="A10" s="85"/>
      <c r="B10" s="85"/>
      <c r="C10" s="46">
        <v>75</v>
      </c>
      <c r="D10" s="46">
        <v>25</v>
      </c>
      <c r="E10" s="46"/>
      <c r="F10" s="55"/>
      <c r="G10" s="4">
        <v>70</v>
      </c>
      <c r="H10" s="46">
        <v>30</v>
      </c>
      <c r="J10" s="55"/>
    </row>
    <row r="11" spans="1:17" ht="15" customHeight="1">
      <c r="A11" s="2" t="s">
        <v>25</v>
      </c>
      <c r="C11" s="74">
        <f>(E22*C10/100)*('ny m2'!F8/'ny m2'!F18)</f>
        <v>849495.47001786053</v>
      </c>
      <c r="D11" s="74">
        <f>('Formål 2'!C33/'Formål 2'!M33)*('19-19-21 BB-Model'!E22*'19-19-21 BB-Model'!D10/100)</f>
        <v>187946.37546269686</v>
      </c>
      <c r="E11" s="74">
        <f t="shared" ref="E11:E19" si="0">SUM(C11:D11)</f>
        <v>1037441.8454805574</v>
      </c>
      <c r="F11" s="56">
        <f t="shared" ref="F11:F20" si="1">E11/$C$6*100</f>
        <v>2.1696754581582871</v>
      </c>
      <c r="G11" s="11">
        <f>(I22*G10/100)*('Formål 3 skal'!C31/'Formål 3 skal'!M31)</f>
        <v>860340.33011869201</v>
      </c>
      <c r="H11" s="11">
        <f>(I22*H10/100)*('Formål 3 kan'!L6/'Formål 3 kan'!L16)</f>
        <v>1087397.4333843957</v>
      </c>
      <c r="I11" s="11">
        <f t="shared" ref="I11:I20" si="2">SUM(G11:H11)</f>
        <v>1947737.7635030877</v>
      </c>
      <c r="J11" s="56">
        <f t="shared" ref="J11:J20" si="3">I11/$C$6*100</f>
        <v>4.0734416515108247</v>
      </c>
      <c r="Q11" s="93"/>
    </row>
    <row r="12" spans="1:17">
      <c r="A12" s="2" t="s">
        <v>26</v>
      </c>
      <c r="C12" s="74">
        <f>(E22*C10/100)*('ny m2'!F9/'ny m2'!F18)</f>
        <v>944447.47347759164</v>
      </c>
      <c r="D12" s="74">
        <f>('Formål 2'!D33/'Formål 2'!M33)*'19-19-21 BB-Model'!E22*'19-19-21 BB-Model'!D10/100</f>
        <v>417784.41292611527</v>
      </c>
      <c r="E12" s="74">
        <f t="shared" si="0"/>
        <v>1362231.8864037069</v>
      </c>
      <c r="F12" s="56">
        <f t="shared" si="1"/>
        <v>2.8489318269996282</v>
      </c>
      <c r="G12" s="11">
        <f>(I22*G10/100)*('Formål 3 skal'!D31/'Formål 3 skal'!M31)</f>
        <v>1930582.9696940526</v>
      </c>
      <c r="H12" s="11">
        <f>(I22*H10/100)*('Formål 3 kan'!L7/'Formål 3 kan'!L16)</f>
        <v>1105816.3359574061</v>
      </c>
      <c r="I12" s="11">
        <f t="shared" si="2"/>
        <v>3036399.3056514589</v>
      </c>
      <c r="J12" s="56">
        <f t="shared" si="3"/>
        <v>6.3502364815342309</v>
      </c>
    </row>
    <row r="13" spans="1:17">
      <c r="A13" s="2" t="s">
        <v>27</v>
      </c>
      <c r="C13" s="74">
        <f>(E22*C10/100)*('ny m2'!F10/'ny m2'!F18)</f>
        <v>1101379.8331188832</v>
      </c>
      <c r="D13" s="74">
        <f>('Formål 2'!E33/'Formål 2'!M33)*('19-19-21 BB-Model'!E22*'19-19-21 BB-Model'!D10/100)</f>
        <v>584784.95738845121</v>
      </c>
      <c r="E13" s="74">
        <f t="shared" si="0"/>
        <v>1686164.7905073343</v>
      </c>
      <c r="F13" s="56">
        <f t="shared" si="1"/>
        <v>3.5263956050276124</v>
      </c>
      <c r="G13" s="11">
        <f>(I22*G10/100)*('Formål 3 skal'!E31/'Formål 3 skal'!M31)</f>
        <v>2707998.9306446775</v>
      </c>
      <c r="H13" s="11">
        <f>(I22*H10/100)*('Formål 3 kan'!L8/'Formål 3 kan'!L16)</f>
        <v>562117.61926520825</v>
      </c>
      <c r="I13" s="11">
        <f t="shared" si="2"/>
        <v>3270116.549909886</v>
      </c>
      <c r="J13" s="56">
        <f t="shared" si="3"/>
        <v>6.839025873657703</v>
      </c>
    </row>
    <row r="14" spans="1:17">
      <c r="A14" s="2" t="s">
        <v>28</v>
      </c>
      <c r="C14" s="74">
        <f>(E22*C10/100)*('ny m2'!F11/'ny m2'!F18)</f>
        <v>876697.07902235107</v>
      </c>
      <c r="D14" s="74">
        <f>('Formål 2'!F33/'Formål 2'!M33)*(E22*D10/100)</f>
        <v>237480.43526084736</v>
      </c>
      <c r="E14" s="74">
        <f t="shared" si="0"/>
        <v>1114177.5142831984</v>
      </c>
      <c r="F14" s="56">
        <f t="shared" si="1"/>
        <v>2.3301581860256322</v>
      </c>
      <c r="G14" s="11">
        <f>(I22*G10/100)*('Formål 3 skal'!F31/'Formål 3 skal'!M31)</f>
        <v>1457654.9267824222</v>
      </c>
      <c r="H14" s="11">
        <f>(I22*H10/100)*('Formål 3 kan'!L9/'Formål 3 kan'!L16)</f>
        <v>795423.71852334077</v>
      </c>
      <c r="I14" s="11">
        <f t="shared" si="2"/>
        <v>2253078.645305763</v>
      </c>
      <c r="J14" s="56">
        <f t="shared" si="3"/>
        <v>4.7120226192110435</v>
      </c>
    </row>
    <row r="15" spans="1:17">
      <c r="A15" s="2" t="s">
        <v>29</v>
      </c>
      <c r="C15" s="74">
        <f>(E22*C10/100)*('ny m2'!F12/'ny m2'!F18)</f>
        <v>2314229.1968435808</v>
      </c>
      <c r="D15" s="74">
        <f>('Formål 2'!G33/'Formål 2'!M33)*(E22*D10/100)</f>
        <v>514022.01481966488</v>
      </c>
      <c r="E15" s="74">
        <f t="shared" si="0"/>
        <v>2828251.2116632457</v>
      </c>
      <c r="F15" s="56">
        <f t="shared" si="1"/>
        <v>5.914921660606165</v>
      </c>
      <c r="G15" s="11">
        <f>(I22*G10/100)*('Formål 3 skal'!G31/'Formål 3 skal'!M31)</f>
        <v>2450155.9702627207</v>
      </c>
      <c r="H15" s="11">
        <f>(I22*H10/100)*('Formål 3 kan'!L10/'Formål 3 kan'!L16)</f>
        <v>581218.70341499685</v>
      </c>
      <c r="I15" s="11">
        <f t="shared" si="2"/>
        <v>3031374.6736777173</v>
      </c>
      <c r="J15" s="56">
        <f t="shared" si="3"/>
        <v>6.3397281135450303</v>
      </c>
    </row>
    <row r="16" spans="1:17">
      <c r="A16" s="2" t="s">
        <v>30</v>
      </c>
      <c r="C16" s="74">
        <f>(E22*C10/100)*('ny m2'!F13/'ny m2'!F18)</f>
        <v>852095.15759171639</v>
      </c>
      <c r="D16" s="74">
        <f>('Formål 2'!H33/'Formål 2'!M33)*(E22*D10/100)</f>
        <v>430238.69081822172</v>
      </c>
      <c r="E16" s="74">
        <f t="shared" si="0"/>
        <v>1282333.8484099382</v>
      </c>
      <c r="F16" s="56">
        <f t="shared" si="1"/>
        <v>2.6818354129256625</v>
      </c>
      <c r="G16" s="11">
        <f>(I22*G10/100)*('Formål 3 skal'!H31/'Formål 3 skal'!M31)</f>
        <v>1969453.767741584</v>
      </c>
      <c r="H16" s="11">
        <f>(I22*H10/100)*('Formål 3 kan'!L11/'Formål 3 kan'!L16)</f>
        <v>533465.99304052524</v>
      </c>
      <c r="I16" s="11">
        <f t="shared" si="2"/>
        <v>2502919.7607821091</v>
      </c>
      <c r="J16" s="56">
        <f t="shared" si="3"/>
        <v>5.2345330028526655</v>
      </c>
    </row>
    <row r="17" spans="1:21">
      <c r="A17" s="2" t="s">
        <v>31</v>
      </c>
      <c r="C17" s="74">
        <f>(E22*C10/100)*('ny m2'!F14/'ny m2'!F18)</f>
        <v>978940.8890916775</v>
      </c>
      <c r="D17" s="74">
        <f>('Formål 2'!I33/'Formål 2'!M33)*(E22*D10/100)</f>
        <v>358626.59293860977</v>
      </c>
      <c r="E17" s="74">
        <f t="shared" si="0"/>
        <v>1337567.4820302874</v>
      </c>
      <c r="F17" s="56">
        <f t="shared" si="1"/>
        <v>2.7973494148459026</v>
      </c>
      <c r="G17" s="11">
        <f>(I22*G10/100)*('Formål 3 skal'!I31/'Formål 3 skal'!M31)</f>
        <v>1973340.8475463372</v>
      </c>
      <c r="H17" s="11">
        <f>(I22*H10/100)*('Formål 3 kan'!L12/'Formål 3 kan'!L16)</f>
        <v>526644.17727274355</v>
      </c>
      <c r="I17" s="11">
        <f t="shared" si="2"/>
        <v>2499985.0248190807</v>
      </c>
      <c r="J17" s="56">
        <f t="shared" si="3"/>
        <v>5.2283953821051545</v>
      </c>
    </row>
    <row r="18" spans="1:21">
      <c r="A18" s="2" t="s">
        <v>32</v>
      </c>
      <c r="C18" s="74">
        <f>(E22*C10/100)*('ny m2'!F15/'ny m2'!F18)</f>
        <v>651221.73725086299</v>
      </c>
      <c r="D18" s="74">
        <f>('Formål 2'!J33/'Formål 2'!M33)*(E22*D10/100)</f>
        <v>157093.73250270594</v>
      </c>
      <c r="E18" s="74">
        <f t="shared" si="0"/>
        <v>808315.46975356899</v>
      </c>
      <c r="F18" s="56">
        <f t="shared" si="1"/>
        <v>1.6904872738785948</v>
      </c>
      <c r="G18" s="11">
        <f>(I22*G10/100)*('Formål 3 skal'!J31/'Formål 3 skal'!M31)</f>
        <v>719109.76387932827</v>
      </c>
      <c r="H18" s="11">
        <f>(I22*H10/100)*('Formål 3 kan'!L13/'Formål 3 kan'!L16)</f>
        <v>360191.87253887131</v>
      </c>
      <c r="I18" s="11">
        <f t="shared" si="2"/>
        <v>1079301.6364181996</v>
      </c>
      <c r="J18" s="56">
        <f t="shared" si="3"/>
        <v>2.2572197976089181</v>
      </c>
    </row>
    <row r="19" spans="1:21">
      <c r="A19" s="2" t="s">
        <v>33</v>
      </c>
      <c r="C19" s="74">
        <f>(E22*C10/100)*('ny m2'!F16/'ny m2'!F18)</f>
        <v>904596.16518080304</v>
      </c>
      <c r="D19" s="74">
        <f>('Formål 2'!K33/'Formål 2'!M33)*(E22*D10/100)</f>
        <v>239178.74588249819</v>
      </c>
      <c r="E19" s="74">
        <f t="shared" si="0"/>
        <v>1143774.9110633011</v>
      </c>
      <c r="F19" s="56">
        <f t="shared" si="1"/>
        <v>2.3920573138648571</v>
      </c>
      <c r="G19" s="11">
        <f>(I22*G10/100)*('Formål 3 skal'!K31/'Formål 3 skal'!M31)</f>
        <v>1094860.8116721304</v>
      </c>
      <c r="H19" s="11">
        <f>(I22*H10/100)*('Formål 3 kan'!L14/'Formål 3 kan'!L16)</f>
        <v>564846.34557232086</v>
      </c>
      <c r="I19" s="11">
        <f t="shared" si="2"/>
        <v>1659707.1572444513</v>
      </c>
      <c r="J19" s="56">
        <f t="shared" si="3"/>
        <v>3.4710628865513891</v>
      </c>
    </row>
    <row r="20" spans="1:21" ht="16.2">
      <c r="A20" s="2" t="s">
        <v>34</v>
      </c>
      <c r="C20" s="89">
        <f>(E22*C10/100)*('ny m2'!F17/'ny m2'!F18)</f>
        <v>568158.54891547235</v>
      </c>
      <c r="D20" s="74">
        <f>('Formål 2'!L33/'Formål 2'!M33)*(E22*D10/100)</f>
        <v>219931.2255037883</v>
      </c>
      <c r="E20" s="89">
        <f>SUM(C20:D20)</f>
        <v>788089.77441926068</v>
      </c>
      <c r="F20" s="90">
        <f t="shared" si="1"/>
        <v>1.6481878476676655</v>
      </c>
      <c r="G20" s="11">
        <f>(I22*G10/100)*('Formål 3 skal'!L31/'Formål 3 skal'!M31)</f>
        <v>1011936.4425040637</v>
      </c>
      <c r="H20" s="91">
        <f>(I22*H10/100)*('Formål 3 kan'!L15/'Formål 3 kan'!L16)</f>
        <v>815206.98424990755</v>
      </c>
      <c r="I20" s="91">
        <f t="shared" si="2"/>
        <v>1827143.4267539713</v>
      </c>
      <c r="J20" s="56">
        <f t="shared" si="3"/>
        <v>3.821234191423041</v>
      </c>
    </row>
    <row r="21" spans="1:21" s="2" customFormat="1">
      <c r="A21" s="2" t="s">
        <v>37</v>
      </c>
      <c r="C21" s="75">
        <f t="shared" ref="C21:D21" si="4">SUM(C11:C20)</f>
        <v>10041261.550510798</v>
      </c>
      <c r="D21" s="75">
        <f t="shared" si="4"/>
        <v>3347087.1835035994</v>
      </c>
      <c r="E21" s="75">
        <f t="shared" ref="E21:J21" si="5">SUM(E11:E20)</f>
        <v>13388348.734014399</v>
      </c>
      <c r="F21" s="94">
        <f>SUM(F11:F20)</f>
        <v>28.000000000000007</v>
      </c>
      <c r="G21" s="12">
        <f t="shared" si="5"/>
        <v>16175434.760846008</v>
      </c>
      <c r="H21" s="12">
        <f t="shared" si="5"/>
        <v>6932329.183219716</v>
      </c>
      <c r="I21" s="70">
        <f t="shared" si="5"/>
        <v>23107763.944065727</v>
      </c>
      <c r="J21" s="94">
        <f t="shared" si="5"/>
        <v>48.326899999999995</v>
      </c>
    </row>
    <row r="22" spans="1:21">
      <c r="A22"/>
      <c r="C22" s="74"/>
      <c r="D22" s="74"/>
      <c r="E22" s="74">
        <f>C6*28/100</f>
        <v>13388348.734014397</v>
      </c>
      <c r="F22" s="57">
        <f>E21/$C$6*100</f>
        <v>28.000000000000007</v>
      </c>
      <c r="G22" s="11"/>
      <c r="H22" s="11"/>
      <c r="I22" s="12">
        <f>C6*48.3269/100</f>
        <v>23107763.944065724</v>
      </c>
      <c r="J22" s="92">
        <f>I22/$C$6*100</f>
        <v>48.326900000000002</v>
      </c>
    </row>
    <row r="23" spans="1:21" s="5" customFormat="1" ht="15.6" customHeight="1">
      <c r="A23" s="45"/>
      <c r="K23" s="112"/>
      <c r="L23" s="112"/>
      <c r="M23" s="2"/>
      <c r="N23" s="2"/>
      <c r="O23" s="2"/>
      <c r="Q23" s="82"/>
      <c r="S23" s="45"/>
    </row>
    <row r="24" spans="1:21" s="5" customFormat="1" ht="15.6" customHeight="1">
      <c r="A24" s="45"/>
      <c r="C24" s="45" t="s">
        <v>58</v>
      </c>
      <c r="D24" s="45"/>
      <c r="G24" s="45" t="s">
        <v>59</v>
      </c>
      <c r="H24" s="45"/>
      <c r="I24" s="45"/>
      <c r="K24" s="113"/>
      <c r="L24" s="113"/>
      <c r="N24" s="45"/>
      <c r="O24" s="45"/>
      <c r="S24" s="84"/>
    </row>
    <row r="25" spans="1:21" s="5" customFormat="1" ht="42.75" customHeight="1">
      <c r="A25" s="45"/>
      <c r="C25" s="4" t="s">
        <v>60</v>
      </c>
      <c r="D25" s="4" t="s">
        <v>61</v>
      </c>
      <c r="E25" s="4" t="s">
        <v>37</v>
      </c>
      <c r="F25" s="55" t="s">
        <v>54</v>
      </c>
      <c r="G25" s="85"/>
      <c r="H25" s="55" t="s">
        <v>57</v>
      </c>
      <c r="J25" s="76" t="s">
        <v>62</v>
      </c>
      <c r="K25" s="76" t="s">
        <v>63</v>
      </c>
      <c r="L25" s="114" t="s">
        <v>64</v>
      </c>
      <c r="M25" s="114" t="s">
        <v>65</v>
      </c>
    </row>
    <row r="26" spans="1:21" s="5" customFormat="1" ht="15.75" customHeight="1">
      <c r="A26" s="45"/>
      <c r="C26" s="4">
        <v>50</v>
      </c>
      <c r="D26" s="4">
        <v>50</v>
      </c>
      <c r="E26" s="4"/>
      <c r="F26" s="55"/>
      <c r="G26" s="85"/>
      <c r="H26" s="55"/>
      <c r="J26" s="76"/>
      <c r="K26" s="76"/>
      <c r="L26" s="81"/>
      <c r="M26" s="81"/>
    </row>
    <row r="27" spans="1:21">
      <c r="A27" s="2" t="s">
        <v>25</v>
      </c>
      <c r="C27" s="11">
        <f t="shared" ref="C27:C36" si="6">($E$38*$C$26/100)/10</f>
        <v>525970.84312199405</v>
      </c>
      <c r="D27" s="11">
        <f>(E38*D26/100)*(Indbyggere!G3/Indbyggere!G13)</f>
        <v>569948.79422889766</v>
      </c>
      <c r="E27" s="11">
        <f>SUM(C27:D27)</f>
        <v>1095919.6373508917</v>
      </c>
      <c r="F27" s="56">
        <f t="shared" ref="F27:F36" si="7">E27/$C$6*100</f>
        <v>2.2919741975248114</v>
      </c>
      <c r="G27" s="11">
        <v>50000</v>
      </c>
      <c r="H27" s="56">
        <f t="shared" ref="H27:H36" si="8">G27/$C$6*100</f>
        <v>0.10456853401518923</v>
      </c>
      <c r="J27" s="77">
        <f>E11+I11+E27+G27</f>
        <v>4131099.2463345369</v>
      </c>
      <c r="K27" s="78">
        <f>J27/$J$37*100</f>
        <v>8.6396601397747688</v>
      </c>
      <c r="L27" s="118">
        <v>4177827.1357164299</v>
      </c>
      <c r="M27" s="115">
        <f>L27/L37*100</f>
        <v>8.7373851790148827</v>
      </c>
      <c r="N27" s="82">
        <f>J27-L27</f>
        <v>-46727.889381892979</v>
      </c>
      <c r="T27" s="1"/>
      <c r="U27" s="83"/>
    </row>
    <row r="28" spans="1:21">
      <c r="A28" s="2" t="s">
        <v>26</v>
      </c>
      <c r="C28" s="11">
        <f t="shared" si="6"/>
        <v>525970.84312199405</v>
      </c>
      <c r="D28" s="11">
        <f>(E38*D26/100)*(Indbyggere!G4/Indbyggere!G13)</f>
        <v>813433.68938811938</v>
      </c>
      <c r="E28" s="11">
        <f t="shared" ref="E28:E36" si="9">SUM(C28:D28)</f>
        <v>1339404.5325101134</v>
      </c>
      <c r="F28" s="56">
        <f t="shared" si="7"/>
        <v>2.8011913683576486</v>
      </c>
      <c r="G28" s="11">
        <v>150000</v>
      </c>
      <c r="H28" s="56">
        <f t="shared" si="8"/>
        <v>0.31370560204556769</v>
      </c>
      <c r="J28" s="77">
        <f t="shared" ref="J28:J37" si="10">E12+I12+E28+G28</f>
        <v>5888035.7245652787</v>
      </c>
      <c r="K28" s="78">
        <f t="shared" ref="K28:K37" si="11">J28/$J$37*100</f>
        <v>12.314065704481255</v>
      </c>
      <c r="L28" s="118">
        <v>6053976.5139491707</v>
      </c>
      <c r="M28" s="116">
        <f>L28/L37*100</f>
        <v>12.661108980521011</v>
      </c>
      <c r="N28" s="82">
        <f t="shared" ref="N28:N37" si="12">J28-L28</f>
        <v>-165940.78938389197</v>
      </c>
      <c r="T28" s="1"/>
      <c r="U28" s="83"/>
    </row>
    <row r="29" spans="1:21">
      <c r="A29" s="2" t="s">
        <v>27</v>
      </c>
      <c r="C29" s="11">
        <f t="shared" si="6"/>
        <v>525970.84312199405</v>
      </c>
      <c r="D29" s="11">
        <f>(E38*D26/100)*(Indbyggere!G5/Indbyggere!G13)</f>
        <v>513567.27792037366</v>
      </c>
      <c r="E29" s="11">
        <f t="shared" si="9"/>
        <v>1039538.1210423678</v>
      </c>
      <c r="F29" s="56">
        <f t="shared" si="7"/>
        <v>2.1740595474060949</v>
      </c>
      <c r="G29" s="11">
        <v>100000</v>
      </c>
      <c r="H29" s="56">
        <f t="shared" si="8"/>
        <v>0.20913706803037846</v>
      </c>
      <c r="J29" s="77">
        <f t="shared" si="10"/>
        <v>6095819.4614595883</v>
      </c>
      <c r="K29" s="78">
        <f t="shared" si="11"/>
        <v>12.748618534683059</v>
      </c>
      <c r="L29" s="118">
        <v>6292350.0248675449</v>
      </c>
      <c r="M29" s="116">
        <f>L29/L37*100</f>
        <v>13.159636352216776</v>
      </c>
      <c r="N29" s="82">
        <f t="shared" si="12"/>
        <v>-196530.56340795662</v>
      </c>
      <c r="T29" s="1"/>
      <c r="U29" s="83"/>
    </row>
    <row r="30" spans="1:21">
      <c r="A30" s="2" t="s">
        <v>28</v>
      </c>
      <c r="C30" s="11">
        <f t="shared" si="6"/>
        <v>525970.84312199405</v>
      </c>
      <c r="D30" s="11">
        <f>(E38*D26/100)*(Indbyggere!G6/Indbyggere!G13)</f>
        <v>272790.02173447871</v>
      </c>
      <c r="E30" s="11">
        <f t="shared" si="9"/>
        <v>798760.8648564727</v>
      </c>
      <c r="F30" s="56">
        <f t="shared" si="7"/>
        <v>1.6705050533349208</v>
      </c>
      <c r="G30" s="11">
        <v>50000</v>
      </c>
      <c r="H30" s="56">
        <f t="shared" si="8"/>
        <v>0.10456853401518923</v>
      </c>
      <c r="J30" s="77">
        <f t="shared" si="10"/>
        <v>4216017.0244454341</v>
      </c>
      <c r="K30" s="78">
        <f t="shared" si="11"/>
        <v>8.8172546972896768</v>
      </c>
      <c r="L30" s="118">
        <v>4102382.1125983922</v>
      </c>
      <c r="M30" s="116">
        <f>L30/L37*100</f>
        <v>8.5796016696909767</v>
      </c>
      <c r="N30" s="82">
        <f t="shared" si="12"/>
        <v>113634.91184704192</v>
      </c>
      <c r="T30" s="1"/>
      <c r="U30" s="83"/>
    </row>
    <row r="31" spans="1:21">
      <c r="A31" s="2" t="s">
        <v>29</v>
      </c>
      <c r="C31" s="11">
        <f t="shared" si="6"/>
        <v>525970.84312199405</v>
      </c>
      <c r="D31" s="11">
        <f>(E38*D26/100)*(Indbyggere!G7/Indbyggere!G13)</f>
        <v>591775.6798302047</v>
      </c>
      <c r="E31" s="11">
        <f t="shared" si="9"/>
        <v>1117746.5229521987</v>
      </c>
      <c r="F31" s="56">
        <f t="shared" si="7"/>
        <v>2.33762230611373</v>
      </c>
      <c r="G31" s="11">
        <v>150000</v>
      </c>
      <c r="H31" s="56">
        <f t="shared" si="8"/>
        <v>0.31370560204556769</v>
      </c>
      <c r="J31" s="77">
        <f t="shared" si="10"/>
        <v>7127372.4082931615</v>
      </c>
      <c r="K31" s="78">
        <f t="shared" si="11"/>
        <v>14.90597819742487</v>
      </c>
      <c r="L31" s="118">
        <v>7230024.1878989134</v>
      </c>
      <c r="M31" s="116">
        <f>L31/L37*100</f>
        <v>15.120660604458969</v>
      </c>
      <c r="N31" s="82">
        <f t="shared" si="12"/>
        <v>-102651.77960575186</v>
      </c>
      <c r="T31" s="1"/>
      <c r="U31" s="83"/>
    </row>
    <row r="32" spans="1:21">
      <c r="A32" s="2" t="s">
        <v>30</v>
      </c>
      <c r="C32" s="11">
        <f t="shared" si="6"/>
        <v>525970.84312199405</v>
      </c>
      <c r="D32" s="11">
        <f>(E38*D26/100)*(Indbyggere!G8/Indbyggere!G13)</f>
        <v>588404.94559810404</v>
      </c>
      <c r="E32" s="11">
        <f t="shared" si="9"/>
        <v>1114375.7887200981</v>
      </c>
      <c r="F32" s="56">
        <f t="shared" si="7"/>
        <v>2.330572851369618</v>
      </c>
      <c r="G32" s="11">
        <v>100000</v>
      </c>
      <c r="H32" s="56">
        <f t="shared" si="8"/>
        <v>0.20913706803037846</v>
      </c>
      <c r="J32" s="77">
        <f t="shared" si="10"/>
        <v>4999629.3979121456</v>
      </c>
      <c r="K32" s="78">
        <f t="shared" si="11"/>
        <v>10.456078696514993</v>
      </c>
      <c r="L32" s="118">
        <v>5147561.990750663</v>
      </c>
      <c r="M32" s="116">
        <f>L32/L37*100</f>
        <v>10.765460222502119</v>
      </c>
      <c r="N32" s="82">
        <f t="shared" si="12"/>
        <v>-147932.59283851739</v>
      </c>
      <c r="T32" s="1"/>
      <c r="U32" s="83"/>
    </row>
    <row r="33" spans="1:21">
      <c r="A33" s="2" t="s">
        <v>31</v>
      </c>
      <c r="C33" s="11">
        <f t="shared" si="6"/>
        <v>525970.84312199405</v>
      </c>
      <c r="D33" s="11">
        <f>(E38*D26/100)*(Indbyggere!G9/Indbyggere!G13)</f>
        <v>512296.34534105711</v>
      </c>
      <c r="E33" s="11">
        <f t="shared" si="9"/>
        <v>1038267.1884630511</v>
      </c>
      <c r="F33" s="56">
        <f t="shared" si="7"/>
        <v>2.1714015562730689</v>
      </c>
      <c r="G33" s="11">
        <v>100000</v>
      </c>
      <c r="H33" s="56">
        <f t="shared" si="8"/>
        <v>0.20913706803037846</v>
      </c>
      <c r="J33" s="77">
        <f t="shared" si="10"/>
        <v>4975819.695312419</v>
      </c>
      <c r="K33" s="78">
        <f t="shared" si="11"/>
        <v>10.406283780870378</v>
      </c>
      <c r="L33" s="118">
        <v>4507858.2272233926</v>
      </c>
      <c r="M33" s="116">
        <f>L33/L37*100</f>
        <v>9.4276025273811985</v>
      </c>
      <c r="N33" s="82">
        <f t="shared" si="12"/>
        <v>467961.4680890264</v>
      </c>
      <c r="T33" s="1"/>
      <c r="U33" s="83"/>
    </row>
    <row r="34" spans="1:21">
      <c r="A34" s="2" t="s">
        <v>32</v>
      </c>
      <c r="C34" s="11">
        <f t="shared" si="6"/>
        <v>525970.84312199405</v>
      </c>
      <c r="D34" s="11">
        <f>(E38*D26/100)*(Indbyggere!G10/Indbyggere!G13)</f>
        <v>582566.02345834509</v>
      </c>
      <c r="E34" s="11">
        <f>SUM(C34:D34)</f>
        <v>1108536.8665803391</v>
      </c>
      <c r="F34" s="56">
        <f t="shared" si="7"/>
        <v>2.3183615008019496</v>
      </c>
      <c r="G34" s="11">
        <v>50000</v>
      </c>
      <c r="H34" s="56">
        <f t="shared" si="8"/>
        <v>0.10456853401518923</v>
      </c>
      <c r="J34" s="77">
        <f t="shared" si="10"/>
        <v>3046153.9727521078</v>
      </c>
      <c r="K34" s="78">
        <f t="shared" si="11"/>
        <v>6.3706373264583931</v>
      </c>
      <c r="L34" s="118">
        <v>2979995.1065100986</v>
      </c>
      <c r="M34" s="116">
        <f>L34/L37*100</f>
        <v>6.2322743932039737</v>
      </c>
      <c r="N34" s="82">
        <f t="shared" si="12"/>
        <v>66158.866242009215</v>
      </c>
      <c r="T34" s="1"/>
      <c r="U34" s="83"/>
    </row>
    <row r="35" spans="1:21">
      <c r="A35" s="2" t="s">
        <v>33</v>
      </c>
      <c r="C35" s="11">
        <f t="shared" si="6"/>
        <v>525970.84312199405</v>
      </c>
      <c r="D35" s="11">
        <f>(E38*D26/100)*(Indbyggere!G11/Indbyggere!G13)</f>
        <v>452470.41754945769</v>
      </c>
      <c r="E35" s="11">
        <f t="shared" si="9"/>
        <v>978441.26067145169</v>
      </c>
      <c r="F35" s="56">
        <f t="shared" si="7"/>
        <v>2.0462833649677465</v>
      </c>
      <c r="G35" s="11">
        <v>50000</v>
      </c>
      <c r="H35" s="56">
        <f t="shared" si="8"/>
        <v>0.10456853401518923</v>
      </c>
      <c r="J35" s="77">
        <f t="shared" si="10"/>
        <v>3831923.3289792044</v>
      </c>
      <c r="K35" s="78">
        <f t="shared" si="11"/>
        <v>8.0139723763425881</v>
      </c>
      <c r="L35" s="118">
        <v>3888335.886241979</v>
      </c>
      <c r="M35" s="116">
        <f>L35/L37*100</f>
        <v>8.1319516676595072</v>
      </c>
      <c r="N35" s="82">
        <f t="shared" si="12"/>
        <v>-56412.557262774557</v>
      </c>
      <c r="T35" s="1"/>
      <c r="U35" s="83"/>
    </row>
    <row r="36" spans="1:21">
      <c r="A36" s="2" t="s">
        <v>34</v>
      </c>
      <c r="C36" s="11">
        <f t="shared" si="6"/>
        <v>525970.84312199405</v>
      </c>
      <c r="D36" s="11">
        <f>(E38*D26/100)*(Indbyggere!G12/Indbyggere!G13)</f>
        <v>362455.23617090285</v>
      </c>
      <c r="E36" s="11">
        <f t="shared" si="9"/>
        <v>888426.0792928969</v>
      </c>
      <c r="F36" s="56">
        <f t="shared" si="7"/>
        <v>1.8580282538504098</v>
      </c>
      <c r="G36" s="11">
        <v>0</v>
      </c>
      <c r="H36" s="56">
        <f t="shared" si="8"/>
        <v>0</v>
      </c>
      <c r="J36" s="77">
        <f t="shared" si="10"/>
        <v>3503659.2804661291</v>
      </c>
      <c r="K36" s="78">
        <f t="shared" si="11"/>
        <v>7.3274505461599988</v>
      </c>
      <c r="L36" s="118">
        <f>3635220.00715198-200000</f>
        <v>3435220.00715198</v>
      </c>
      <c r="M36" s="116">
        <f>L36/L37*100</f>
        <v>7.1843184033506073</v>
      </c>
      <c r="N36" s="82">
        <f t="shared" si="12"/>
        <v>68439.273314149119</v>
      </c>
      <c r="T36" s="1"/>
      <c r="U36" s="83"/>
    </row>
    <row r="37" spans="1:21">
      <c r="A37" s="2" t="s">
        <v>37</v>
      </c>
      <c r="C37" s="12">
        <f>SUM(C27:C36)</f>
        <v>5259708.4312199419</v>
      </c>
      <c r="D37" s="12">
        <f>SUM(D27:D36)</f>
        <v>5259708.431219941</v>
      </c>
      <c r="E37" s="12">
        <f>SUM(E27:E36)</f>
        <v>10519416.862439882</v>
      </c>
      <c r="F37" s="44">
        <f>SUM(F27:F36)</f>
        <v>21.999999999999996</v>
      </c>
      <c r="G37" s="12">
        <f t="shared" ref="G37" si="13">SUM(G27:G36)</f>
        <v>800000</v>
      </c>
      <c r="H37" s="44">
        <f>SUM(H27:H36)</f>
        <v>1.6730965442430277</v>
      </c>
      <c r="J37" s="79">
        <f t="shared" si="10"/>
        <v>47815529.540520012</v>
      </c>
      <c r="K37" s="80">
        <f t="shared" si="11"/>
        <v>100</v>
      </c>
      <c r="L37" s="119">
        <f>SUM(L27:L36)</f>
        <v>47815531.192908555</v>
      </c>
      <c r="M37" s="117">
        <f>SUM(M27:M36)</f>
        <v>100.00000000000001</v>
      </c>
      <c r="N37" s="82">
        <f t="shared" si="12"/>
        <v>-1.6523885428905487</v>
      </c>
    </row>
    <row r="38" spans="1:21">
      <c r="A38"/>
      <c r="E38" s="10">
        <f>C6*22/100</f>
        <v>10519416.862439882</v>
      </c>
      <c r="F38" s="57">
        <f>E37/$C$6*100</f>
        <v>22</v>
      </c>
      <c r="G38" s="10">
        <f>C6*1.6731/100</f>
        <v>800001.65238855302</v>
      </c>
      <c r="H38" s="56">
        <f>G38/$C$6*100</f>
        <v>1.6731</v>
      </c>
      <c r="J38"/>
      <c r="L38" s="1">
        <v>295000</v>
      </c>
    </row>
    <row r="39" spans="1:21" ht="17.25" customHeight="1">
      <c r="J39"/>
      <c r="L39" s="83">
        <f>SUM(L37:L38)</f>
        <v>48110531.192908555</v>
      </c>
      <c r="S39" s="83"/>
    </row>
    <row r="40" spans="1:21" ht="17.399999999999999" customHeight="1">
      <c r="J40" s="9"/>
    </row>
  </sheetData>
  <mergeCells count="1">
    <mergeCell ref="A9:B9"/>
  </mergeCells>
  <pageMargins left="0.7" right="0.7" top="0.75" bottom="0.75" header="0.3" footer="0.3"/>
  <pageSetup paperSize="9" scale="7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workbookViewId="0">
      <selection activeCell="E12" sqref="E12"/>
    </sheetView>
  </sheetViews>
  <sheetFormatPr defaultRowHeight="14.4"/>
  <cols>
    <col min="1" max="1" width="21" customWidth="1"/>
    <col min="2" max="2" width="15.6640625" bestFit="1" customWidth="1"/>
    <col min="3" max="3" width="18.33203125" bestFit="1" customWidth="1"/>
    <col min="4" max="4" width="15.6640625" bestFit="1" customWidth="1"/>
    <col min="5" max="5" width="16.109375" bestFit="1" customWidth="1"/>
    <col min="6" max="6" width="11" bestFit="1" customWidth="1"/>
  </cols>
  <sheetData>
    <row r="1" spans="1:10">
      <c r="A1" s="2" t="s">
        <v>66</v>
      </c>
    </row>
    <row r="2" spans="1:10">
      <c r="A2" t="s">
        <v>67</v>
      </c>
    </row>
    <row r="4" spans="1:10">
      <c r="F4" t="s">
        <v>68</v>
      </c>
    </row>
    <row r="5" spans="1:10">
      <c r="A5" t="s">
        <v>69</v>
      </c>
      <c r="B5" s="2">
        <v>75</v>
      </c>
      <c r="C5" s="2">
        <v>20</v>
      </c>
      <c r="D5" s="2">
        <v>0</v>
      </c>
      <c r="E5" s="2">
        <v>5</v>
      </c>
      <c r="F5">
        <f>SUM(B5:E5)</f>
        <v>100</v>
      </c>
      <c r="G5" t="s">
        <v>70</v>
      </c>
    </row>
    <row r="6" spans="1:10">
      <c r="B6" s="2"/>
      <c r="C6" s="2"/>
      <c r="D6" s="2"/>
      <c r="E6" s="2"/>
    </row>
    <row r="7" spans="1:10">
      <c r="B7" s="2" t="s">
        <v>71</v>
      </c>
      <c r="C7" s="2" t="s">
        <v>72</v>
      </c>
      <c r="D7" s="2" t="s">
        <v>73</v>
      </c>
      <c r="E7" s="2" t="s">
        <v>74</v>
      </c>
      <c r="F7" s="2"/>
      <c r="I7" s="2"/>
      <c r="J7" s="2"/>
    </row>
    <row r="8" spans="1:10">
      <c r="A8" s="2" t="s">
        <v>25</v>
      </c>
      <c r="B8" s="88">
        <f>$B$5*'ny m2 rådata'!$B$17</f>
        <v>63562.5</v>
      </c>
      <c r="C8" s="88">
        <f>$C$5*'ny m2 rådata'!$E$17</f>
        <v>280</v>
      </c>
      <c r="D8" s="88">
        <f>$D$5*'ny m2 rådata'!$H$17</f>
        <v>0</v>
      </c>
      <c r="E8" s="88">
        <f>$E$5*'ny m2 rådata'!$K$17</f>
        <v>3145</v>
      </c>
      <c r="F8" s="88">
        <f>SUM(B8:E8)</f>
        <v>66987.5</v>
      </c>
    </row>
    <row r="9" spans="1:10">
      <c r="A9" s="2" t="s">
        <v>26</v>
      </c>
      <c r="B9" s="88">
        <f>$B$5*'ny m2 rådata'!$B$21</f>
        <v>65625</v>
      </c>
      <c r="C9" s="88">
        <f>$C$5*'ny m2 rådata'!$E$21</f>
        <v>320</v>
      </c>
      <c r="D9" s="88">
        <f>$D$5*'ny m2 rådata'!$H$21</f>
        <v>0</v>
      </c>
      <c r="E9" s="88">
        <f>$E$5*'ny m2 rådata'!$K$21</f>
        <v>8530</v>
      </c>
      <c r="F9" s="88">
        <f t="shared" ref="F9:F17" si="0">SUM(B9:E9)</f>
        <v>74475</v>
      </c>
    </row>
    <row r="10" spans="1:10">
      <c r="A10" s="2" t="s">
        <v>27</v>
      </c>
      <c r="B10" s="88">
        <f>$B$5*'ny m2 rådata'!$B$25</f>
        <v>75000</v>
      </c>
      <c r="C10" s="88">
        <f>$C$5*'ny m2 rådata'!$E$25</f>
        <v>2540</v>
      </c>
      <c r="D10" s="88">
        <f>$D$5*'ny m2 rådata'!$H$25</f>
        <v>0</v>
      </c>
      <c r="E10" s="88">
        <f>$E$5*'ny m2 rådata'!$K$25</f>
        <v>9310</v>
      </c>
      <c r="F10" s="88">
        <f t="shared" si="0"/>
        <v>86850</v>
      </c>
    </row>
    <row r="11" spans="1:10">
      <c r="A11" s="2" t="s">
        <v>28</v>
      </c>
      <c r="B11" s="88">
        <f>$B$5*'ny m2 rådata'!$B$29</f>
        <v>59737.5</v>
      </c>
      <c r="C11" s="88">
        <f>$C$5*'ny m2 rådata'!$E$29</f>
        <v>350</v>
      </c>
      <c r="D11" s="88">
        <f>$D$5*'ny m2 rådata'!$H$29</f>
        <v>0</v>
      </c>
      <c r="E11" s="88">
        <f>$E$5*'ny m2 rådata'!$K$29</f>
        <v>9045</v>
      </c>
      <c r="F11" s="88">
        <f t="shared" si="0"/>
        <v>69132.5</v>
      </c>
    </row>
    <row r="12" spans="1:10">
      <c r="A12" s="2" t="s">
        <v>29</v>
      </c>
      <c r="B12" s="88">
        <f>$B$5*'ny m2 rådata'!$B$33</f>
        <v>167625</v>
      </c>
      <c r="C12" s="88">
        <f>$C$5*'ny m2 rådata'!$E$33</f>
        <v>13340</v>
      </c>
      <c r="D12" s="88">
        <f>$D$5*'ny m2 rådata'!$H$33</f>
        <v>0</v>
      </c>
      <c r="E12" s="88">
        <f>$E$5*'ny m2 rådata'!$K$33</f>
        <v>1525</v>
      </c>
      <c r="F12" s="88">
        <f t="shared" si="0"/>
        <v>182490</v>
      </c>
    </row>
    <row r="13" spans="1:10">
      <c r="A13" s="2" t="s">
        <v>30</v>
      </c>
      <c r="B13" s="88">
        <f>$B$5*'ny m2 rådata'!$B$37</f>
        <v>64237.5</v>
      </c>
      <c r="C13" s="88">
        <f>$C$5*'ny m2 rådata'!$E$37</f>
        <v>630</v>
      </c>
      <c r="D13" s="88">
        <f>$D$5*'ny m2 rådata'!$H$37</f>
        <v>0</v>
      </c>
      <c r="E13" s="88">
        <f>$E$5*'ny m2 rådata'!$K$37</f>
        <v>2325</v>
      </c>
      <c r="F13" s="88">
        <f t="shared" si="0"/>
        <v>67192.5</v>
      </c>
    </row>
    <row r="14" spans="1:10">
      <c r="A14" s="2" t="s">
        <v>31</v>
      </c>
      <c r="B14" s="88">
        <f>$B$5*'ny m2 rådata'!$B$41</f>
        <v>66750</v>
      </c>
      <c r="C14" s="88">
        <f>$C$5*'ny m2 rådata'!$E$41</f>
        <v>180</v>
      </c>
      <c r="D14" s="88">
        <f>$D$5*'ny m2 rådata'!$H$41</f>
        <v>0</v>
      </c>
      <c r="E14" s="88">
        <f>$E$5*'ny m2 rådata'!$K$41</f>
        <v>10265</v>
      </c>
      <c r="F14" s="88">
        <f t="shared" si="0"/>
        <v>77195</v>
      </c>
    </row>
    <row r="15" spans="1:10">
      <c r="A15" s="2" t="s">
        <v>32</v>
      </c>
      <c r="B15" s="88">
        <f>$B$5*'ny m2 rådata'!$B$45</f>
        <v>48562.5</v>
      </c>
      <c r="C15" s="88">
        <f>$C$5*'ny m2 rådata'!$E$45</f>
        <v>160</v>
      </c>
      <c r="D15" s="88">
        <f>$D$5*'ny m2 rådata'!$H$45</f>
        <v>0</v>
      </c>
      <c r="E15" s="88">
        <f>$E$5*'ny m2 rådata'!$K$45</f>
        <v>2630</v>
      </c>
      <c r="F15" s="88">
        <f t="shared" si="0"/>
        <v>51352.5</v>
      </c>
    </row>
    <row r="16" spans="1:10">
      <c r="A16" s="2" t="s">
        <v>33</v>
      </c>
      <c r="B16" s="88">
        <f>$B$5*'ny m2 rådata'!$B$49</f>
        <v>62887.5</v>
      </c>
      <c r="C16" s="88">
        <f>$C$5*'ny m2 rådata'!$E$49</f>
        <v>3870</v>
      </c>
      <c r="D16" s="88">
        <f>$D$5*'ny m2 rådata'!$H$49</f>
        <v>0</v>
      </c>
      <c r="E16" s="88">
        <f>$E$5*'ny m2 rådata'!$K$49</f>
        <v>4575</v>
      </c>
      <c r="F16" s="88">
        <f t="shared" si="0"/>
        <v>71332.5</v>
      </c>
    </row>
    <row r="17" spans="1:6" ht="16.2">
      <c r="A17" s="96" t="s">
        <v>34</v>
      </c>
      <c r="B17" s="88">
        <f>$B$5*'ny m2 rådata'!$B$53</f>
        <v>39637.5</v>
      </c>
      <c r="C17" s="88">
        <f>$C$5*'ny m2 rådata'!$E$53</f>
        <v>350</v>
      </c>
      <c r="D17" s="88">
        <f>$D$5*'ny m2 rådata'!$H$53</f>
        <v>0</v>
      </c>
      <c r="E17" s="88">
        <f>$E$5*'ny m2 rådata'!$K$53</f>
        <v>4815</v>
      </c>
      <c r="F17" s="95">
        <f t="shared" si="0"/>
        <v>44802.5</v>
      </c>
    </row>
    <row r="18" spans="1:6" s="2" customFormat="1">
      <c r="A18" s="2" t="s">
        <v>75</v>
      </c>
      <c r="B18" s="126"/>
      <c r="C18" s="126"/>
      <c r="D18" s="126"/>
      <c r="E18" s="126"/>
      <c r="F18" s="126">
        <f>SUM(F8:F17)</f>
        <v>791810</v>
      </c>
    </row>
    <row r="22" spans="1:6">
      <c r="B22" s="2"/>
      <c r="C22" s="2"/>
      <c r="D22" s="2"/>
      <c r="E22" s="2"/>
    </row>
    <row r="23" spans="1:6">
      <c r="B23" s="2"/>
      <c r="C23" s="2"/>
      <c r="D23" s="2"/>
      <c r="E23" s="2"/>
    </row>
    <row r="24" spans="1:6">
      <c r="B24" s="2"/>
      <c r="C24" s="2"/>
      <c r="D24" s="2"/>
      <c r="E24" s="2"/>
      <c r="F24" s="2"/>
    </row>
    <row r="25" spans="1:6">
      <c r="A25" s="2"/>
      <c r="B25" s="88"/>
      <c r="C25" s="88"/>
      <c r="D25" s="88"/>
      <c r="E25" s="88"/>
      <c r="F25" s="88"/>
    </row>
    <row r="26" spans="1:6">
      <c r="A26" s="2"/>
      <c r="B26" s="88"/>
      <c r="C26" s="88"/>
      <c r="D26" s="88"/>
      <c r="E26" s="88"/>
      <c r="F26" s="88"/>
    </row>
    <row r="27" spans="1:6">
      <c r="A27" s="2"/>
      <c r="B27" s="88"/>
      <c r="C27" s="88"/>
      <c r="D27" s="88"/>
      <c r="E27" s="88"/>
      <c r="F27" s="88"/>
    </row>
    <row r="28" spans="1:6">
      <c r="A28" s="2"/>
      <c r="B28" s="88"/>
      <c r="C28" s="88"/>
      <c r="D28" s="88"/>
      <c r="E28" s="88"/>
      <c r="F28" s="88"/>
    </row>
    <row r="29" spans="1:6">
      <c r="A29" s="2"/>
      <c r="B29" s="88"/>
      <c r="C29" s="88"/>
      <c r="D29" s="88"/>
      <c r="E29" s="88"/>
      <c r="F29" s="88"/>
    </row>
    <row r="30" spans="1:6">
      <c r="A30" s="2"/>
      <c r="B30" s="88"/>
      <c r="C30" s="88"/>
      <c r="D30" s="88"/>
      <c r="E30" s="88"/>
      <c r="F30" s="88"/>
    </row>
    <row r="31" spans="1:6">
      <c r="A31" s="2"/>
      <c r="B31" s="88"/>
      <c r="C31" s="88"/>
      <c r="D31" s="88"/>
      <c r="E31" s="88"/>
      <c r="F31" s="88"/>
    </row>
    <row r="32" spans="1:6">
      <c r="A32" s="2"/>
      <c r="B32" s="88"/>
      <c r="C32" s="88"/>
      <c r="D32" s="88"/>
      <c r="E32" s="88"/>
      <c r="F32" s="88"/>
    </row>
    <row r="33" spans="1:6">
      <c r="A33" s="2"/>
      <c r="B33" s="88"/>
      <c r="C33" s="88"/>
      <c r="D33" s="88"/>
      <c r="E33" s="88"/>
      <c r="F33" s="88"/>
    </row>
    <row r="34" spans="1:6" ht="16.2">
      <c r="A34" s="2"/>
      <c r="B34" s="88"/>
      <c r="C34" s="88"/>
      <c r="D34" s="88"/>
      <c r="E34" s="88"/>
      <c r="F34" s="95"/>
    </row>
    <row r="35" spans="1:6">
      <c r="B35" s="88"/>
      <c r="C35" s="88"/>
      <c r="D35" s="88"/>
      <c r="E35" s="88"/>
      <c r="F35" s="88"/>
    </row>
    <row r="37" spans="1:6">
      <c r="B37" s="2"/>
      <c r="C37" s="2"/>
      <c r="D37" s="2"/>
      <c r="E37" s="2"/>
    </row>
    <row r="38" spans="1:6">
      <c r="B38" s="2"/>
      <c r="C38" s="2"/>
      <c r="D38" s="2"/>
      <c r="E38" s="2"/>
    </row>
    <row r="39" spans="1:6">
      <c r="B39" s="2"/>
      <c r="C39" s="2"/>
      <c r="D39" s="2"/>
      <c r="E39" s="2"/>
      <c r="F39" s="2"/>
    </row>
    <row r="40" spans="1:6">
      <c r="A40" s="2"/>
    </row>
    <row r="41" spans="1:6">
      <c r="A41" s="2"/>
    </row>
    <row r="42" spans="1:6">
      <c r="A42" s="2"/>
    </row>
    <row r="43" spans="1:6">
      <c r="A43" s="2"/>
    </row>
    <row r="44" spans="1:6">
      <c r="A44" s="2"/>
    </row>
    <row r="45" spans="1:6">
      <c r="A45" s="2"/>
    </row>
    <row r="46" spans="1:6">
      <c r="A46" s="2"/>
    </row>
    <row r="47" spans="1:6">
      <c r="A47" s="2"/>
    </row>
    <row r="48" spans="1:6">
      <c r="A48" s="2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5"/>
  <sheetViews>
    <sheetView workbookViewId="0">
      <selection activeCell="G11" sqref="G11"/>
    </sheetView>
  </sheetViews>
  <sheetFormatPr defaultRowHeight="14.4"/>
  <cols>
    <col min="1" max="1" width="16.5546875" customWidth="1"/>
    <col min="4" max="4" width="13.33203125" customWidth="1"/>
    <col min="7" max="7" width="17.33203125" bestFit="1" customWidth="1"/>
    <col min="10" max="10" width="15.33203125" customWidth="1"/>
  </cols>
  <sheetData>
    <row r="1" spans="1:12" ht="32.4">
      <c r="A1" s="166" t="s">
        <v>76</v>
      </c>
      <c r="B1" s="166"/>
      <c r="C1" s="166"/>
      <c r="D1" s="166"/>
      <c r="E1" s="166"/>
      <c r="F1" s="166"/>
      <c r="G1" s="166"/>
      <c r="H1" s="166"/>
      <c r="I1" s="166"/>
      <c r="J1" s="166"/>
      <c r="K1" s="13"/>
    </row>
    <row r="3" spans="1:12">
      <c r="A3" s="14" t="s">
        <v>71</v>
      </c>
      <c r="B3" s="15"/>
      <c r="C3" s="16"/>
      <c r="D3" s="14" t="s">
        <v>72</v>
      </c>
      <c r="E3" s="15"/>
      <c r="F3" s="16"/>
      <c r="G3" s="14" t="s">
        <v>73</v>
      </c>
      <c r="H3" s="15"/>
      <c r="I3" s="16"/>
      <c r="J3" s="14" t="s">
        <v>74</v>
      </c>
      <c r="K3" s="15"/>
      <c r="L3" s="16"/>
    </row>
    <row r="4" spans="1:12" ht="109.5" customHeight="1">
      <c r="A4" s="167" t="s">
        <v>77</v>
      </c>
      <c r="B4" s="168"/>
      <c r="C4" s="169"/>
      <c r="D4" s="167" t="s">
        <v>78</v>
      </c>
      <c r="E4" s="168"/>
      <c r="F4" s="169"/>
      <c r="G4" s="167" t="s">
        <v>79</v>
      </c>
      <c r="H4" s="168"/>
      <c r="I4" s="169"/>
      <c r="J4" s="167" t="s">
        <v>80</v>
      </c>
      <c r="K4" s="168"/>
      <c r="L4" s="169"/>
    </row>
    <row r="5" spans="1:12" ht="15.6">
      <c r="A5" s="17" t="s">
        <v>81</v>
      </c>
      <c r="B5" s="18"/>
      <c r="C5" s="19"/>
      <c r="D5" s="17" t="s">
        <v>81</v>
      </c>
      <c r="E5" s="18"/>
      <c r="F5" s="19"/>
      <c r="G5" s="17" t="s">
        <v>81</v>
      </c>
      <c r="H5" s="18"/>
      <c r="I5" s="19"/>
      <c r="J5" s="17" t="s">
        <v>81</v>
      </c>
      <c r="K5" s="20"/>
      <c r="L5" s="21"/>
    </row>
    <row r="6" spans="1:12">
      <c r="A6" s="22" t="s">
        <v>82</v>
      </c>
      <c r="B6" s="20"/>
      <c r="C6" s="23"/>
      <c r="D6" s="22" t="s">
        <v>83</v>
      </c>
      <c r="E6" s="20"/>
      <c r="F6" s="23"/>
      <c r="G6" s="22" t="s">
        <v>84</v>
      </c>
      <c r="H6" s="20"/>
      <c r="I6" s="23"/>
      <c r="J6" s="22" t="s">
        <v>85</v>
      </c>
      <c r="K6" s="20"/>
      <c r="L6" s="23"/>
    </row>
    <row r="7" spans="1:12">
      <c r="A7" s="22" t="s">
        <v>86</v>
      </c>
      <c r="B7" s="20"/>
      <c r="C7" s="23"/>
      <c r="D7" s="22" t="s">
        <v>87</v>
      </c>
      <c r="E7" s="20"/>
      <c r="F7" s="23"/>
      <c r="G7" s="22" t="s">
        <v>88</v>
      </c>
      <c r="H7" s="20"/>
      <c r="I7" s="23"/>
      <c r="J7" s="22"/>
      <c r="K7" s="20"/>
      <c r="L7" s="23"/>
    </row>
    <row r="8" spans="1:12">
      <c r="A8" s="22" t="s">
        <v>89</v>
      </c>
      <c r="B8" s="20"/>
      <c r="C8" s="23"/>
      <c r="D8" s="22" t="s">
        <v>90</v>
      </c>
      <c r="E8" s="20"/>
      <c r="F8" s="23"/>
      <c r="G8" s="22" t="s">
        <v>91</v>
      </c>
      <c r="H8" s="20"/>
      <c r="I8" s="23"/>
      <c r="J8" s="22"/>
      <c r="K8" s="20"/>
      <c r="L8" s="23"/>
    </row>
    <row r="9" spans="1:12">
      <c r="A9" s="22" t="s">
        <v>92</v>
      </c>
      <c r="B9" s="20"/>
      <c r="C9" s="23"/>
      <c r="D9" s="22" t="s">
        <v>93</v>
      </c>
      <c r="E9" s="20"/>
      <c r="F9" s="23"/>
      <c r="G9" s="22" t="s">
        <v>94</v>
      </c>
      <c r="H9" s="20"/>
      <c r="I9" s="23"/>
      <c r="J9" s="22"/>
      <c r="K9" s="20"/>
      <c r="L9" s="23"/>
    </row>
    <row r="10" spans="1:12">
      <c r="A10" s="22" t="s">
        <v>95</v>
      </c>
      <c r="B10" s="20"/>
      <c r="C10" s="23"/>
      <c r="D10" s="22" t="s">
        <v>96</v>
      </c>
      <c r="E10" s="20"/>
      <c r="F10" s="23"/>
      <c r="G10" s="22" t="s">
        <v>97</v>
      </c>
      <c r="H10" s="20"/>
      <c r="I10" s="23"/>
      <c r="J10" s="22"/>
      <c r="K10" s="20"/>
      <c r="L10" s="23"/>
    </row>
    <row r="11" spans="1:12">
      <c r="A11" s="22" t="s">
        <v>98</v>
      </c>
      <c r="B11" s="20"/>
      <c r="C11" s="23"/>
      <c r="D11" s="22"/>
      <c r="E11" s="20"/>
      <c r="F11" s="23"/>
      <c r="G11" s="22" t="s">
        <v>99</v>
      </c>
      <c r="H11" s="20"/>
      <c r="I11" s="23"/>
      <c r="J11" s="22"/>
      <c r="K11" s="20"/>
      <c r="L11" s="23"/>
    </row>
    <row r="12" spans="1:12">
      <c r="A12" s="22" t="s">
        <v>100</v>
      </c>
      <c r="B12" s="20"/>
      <c r="C12" s="23"/>
      <c r="D12" s="22"/>
      <c r="E12" s="20"/>
      <c r="F12" s="23"/>
      <c r="H12" s="20"/>
      <c r="I12" s="23"/>
      <c r="J12" s="22"/>
      <c r="K12" s="20"/>
      <c r="L12" s="23"/>
    </row>
    <row r="13" spans="1:12">
      <c r="A13" s="24"/>
      <c r="B13" s="25"/>
      <c r="C13" s="26"/>
      <c r="D13" s="27"/>
      <c r="E13" s="25"/>
      <c r="F13" s="26"/>
      <c r="G13" s="27"/>
      <c r="H13" s="25"/>
      <c r="I13" s="26"/>
      <c r="J13" s="27"/>
      <c r="K13" s="25"/>
      <c r="L13" s="26"/>
    </row>
    <row r="15" spans="1:12">
      <c r="A15" s="28" t="s">
        <v>25</v>
      </c>
      <c r="B15" s="29"/>
      <c r="C15" s="30" t="s">
        <v>101</v>
      </c>
      <c r="D15" s="29"/>
      <c r="E15" s="29"/>
      <c r="F15" s="29"/>
      <c r="G15" s="29"/>
      <c r="H15" s="29"/>
      <c r="I15" s="29"/>
      <c r="J15" s="29"/>
      <c r="K15" s="29"/>
      <c r="L15" s="31"/>
    </row>
    <row r="16" spans="1:12">
      <c r="A16" s="32" t="s">
        <v>71</v>
      </c>
      <c r="B16" s="33"/>
      <c r="C16" s="34"/>
      <c r="D16" s="32" t="s">
        <v>72</v>
      </c>
      <c r="E16" s="33"/>
      <c r="F16" s="34"/>
      <c r="G16" s="32" t="s">
        <v>73</v>
      </c>
      <c r="H16" s="33"/>
      <c r="I16" s="34"/>
      <c r="J16" s="32" t="s">
        <v>74</v>
      </c>
      <c r="K16" s="33"/>
      <c r="L16" s="34"/>
    </row>
    <row r="17" spans="1:12">
      <c r="A17" s="24"/>
      <c r="B17" s="35">
        <v>847.5</v>
      </c>
      <c r="C17" s="38" t="s">
        <v>102</v>
      </c>
      <c r="D17" s="24"/>
      <c r="E17" s="35">
        <v>14</v>
      </c>
      <c r="F17" s="38" t="s">
        <v>102</v>
      </c>
      <c r="G17" s="24"/>
      <c r="H17" s="35">
        <v>46.5</v>
      </c>
      <c r="I17" s="38" t="s">
        <v>102</v>
      </c>
      <c r="J17" s="24"/>
      <c r="K17" s="35">
        <v>629</v>
      </c>
      <c r="L17" s="36" t="s">
        <v>102</v>
      </c>
    </row>
    <row r="19" spans="1:12">
      <c r="A19" s="28" t="s">
        <v>26</v>
      </c>
      <c r="B19" s="29"/>
      <c r="C19" s="30" t="s">
        <v>101</v>
      </c>
      <c r="D19" s="29"/>
      <c r="E19" s="29"/>
      <c r="F19" s="29"/>
      <c r="G19" s="29"/>
      <c r="H19" s="29"/>
      <c r="I19" s="29"/>
      <c r="J19" s="29"/>
      <c r="K19" s="29"/>
      <c r="L19" s="31"/>
    </row>
    <row r="20" spans="1:12">
      <c r="A20" s="32" t="s">
        <v>71</v>
      </c>
      <c r="B20" s="33"/>
      <c r="C20" s="34"/>
      <c r="D20" s="32" t="s">
        <v>72</v>
      </c>
      <c r="E20" s="33"/>
      <c r="F20" s="34"/>
      <c r="G20" s="32" t="s">
        <v>73</v>
      </c>
      <c r="H20" s="33"/>
      <c r="I20" s="34"/>
      <c r="J20" s="32" t="s">
        <v>74</v>
      </c>
      <c r="K20" s="33"/>
      <c r="L20" s="34"/>
    </row>
    <row r="21" spans="1:12">
      <c r="A21" s="24"/>
      <c r="B21" s="35">
        <v>875</v>
      </c>
      <c r="C21" s="38" t="s">
        <v>102</v>
      </c>
      <c r="D21" s="24"/>
      <c r="E21" s="35">
        <v>16</v>
      </c>
      <c r="F21" s="38" t="s">
        <v>102</v>
      </c>
      <c r="G21" s="24"/>
      <c r="H21" s="35">
        <v>101.5</v>
      </c>
      <c r="I21" s="38" t="s">
        <v>102</v>
      </c>
      <c r="J21" s="24"/>
      <c r="K21" s="35">
        <v>1706</v>
      </c>
      <c r="L21" s="36" t="s">
        <v>102</v>
      </c>
    </row>
    <row r="23" spans="1:12">
      <c r="A23" s="28" t="s">
        <v>27</v>
      </c>
      <c r="B23" s="29"/>
      <c r="C23" s="30" t="s">
        <v>103</v>
      </c>
      <c r="D23" s="29"/>
      <c r="E23" s="29"/>
      <c r="F23" s="29"/>
      <c r="G23" s="29"/>
      <c r="H23" s="29"/>
      <c r="I23" s="29"/>
      <c r="J23" s="29"/>
      <c r="K23" s="29"/>
      <c r="L23" s="31"/>
    </row>
    <row r="24" spans="1:12">
      <c r="A24" s="32" t="s">
        <v>71</v>
      </c>
      <c r="B24" s="33"/>
      <c r="C24" s="34"/>
      <c r="D24" s="32" t="s">
        <v>72</v>
      </c>
      <c r="E24" s="33"/>
      <c r="F24" s="34"/>
      <c r="G24" s="32" t="s">
        <v>73</v>
      </c>
      <c r="H24" s="33"/>
      <c r="I24" s="34"/>
      <c r="J24" s="32" t="s">
        <v>74</v>
      </c>
      <c r="K24" s="33"/>
      <c r="L24" s="34"/>
    </row>
    <row r="25" spans="1:12">
      <c r="A25" s="24"/>
      <c r="B25" s="35">
        <v>1000</v>
      </c>
      <c r="C25" s="38" t="s">
        <v>102</v>
      </c>
      <c r="D25" s="24"/>
      <c r="E25" s="35">
        <f>63+64</f>
        <v>127</v>
      </c>
      <c r="F25" s="38" t="s">
        <v>102</v>
      </c>
      <c r="G25" s="24"/>
      <c r="H25" s="35">
        <f>122-64</f>
        <v>58</v>
      </c>
      <c r="I25" s="38" t="s">
        <v>102</v>
      </c>
      <c r="J25" s="24"/>
      <c r="K25" s="35">
        <v>1862</v>
      </c>
      <c r="L25" s="36" t="s">
        <v>102</v>
      </c>
    </row>
    <row r="27" spans="1:12">
      <c r="A27" s="28" t="s">
        <v>28</v>
      </c>
      <c r="B27" s="29"/>
      <c r="C27" s="30" t="s">
        <v>101</v>
      </c>
      <c r="D27" s="29"/>
      <c r="E27" s="29"/>
      <c r="F27" s="29"/>
      <c r="G27" s="29"/>
      <c r="H27" s="29"/>
      <c r="I27" s="29"/>
      <c r="J27" s="29"/>
      <c r="K27" s="29"/>
      <c r="L27" s="31"/>
    </row>
    <row r="28" spans="1:12">
      <c r="A28" s="32" t="s">
        <v>71</v>
      </c>
      <c r="B28" s="33"/>
      <c r="C28" s="34"/>
      <c r="D28" s="32" t="s">
        <v>72</v>
      </c>
      <c r="E28" s="33"/>
      <c r="F28" s="34"/>
      <c r="G28" s="32" t="s">
        <v>73</v>
      </c>
      <c r="H28" s="33"/>
      <c r="I28" s="34"/>
      <c r="J28" s="32" t="s">
        <v>74</v>
      </c>
      <c r="K28" s="33"/>
      <c r="L28" s="34"/>
    </row>
    <row r="29" spans="1:12">
      <c r="A29" s="24"/>
      <c r="B29" s="35">
        <v>796.5</v>
      </c>
      <c r="C29" s="38" t="s">
        <v>102</v>
      </c>
      <c r="D29" s="24"/>
      <c r="E29" s="35">
        <v>17.5</v>
      </c>
      <c r="F29" s="38" t="s">
        <v>102</v>
      </c>
      <c r="G29" s="24"/>
      <c r="H29" s="35">
        <v>128</v>
      </c>
      <c r="I29" s="38" t="s">
        <v>102</v>
      </c>
      <c r="J29" s="24"/>
      <c r="K29" s="35">
        <v>1809</v>
      </c>
      <c r="L29" s="36" t="s">
        <v>102</v>
      </c>
    </row>
    <row r="31" spans="1:12">
      <c r="A31" s="28" t="s">
        <v>29</v>
      </c>
      <c r="B31" s="29"/>
      <c r="C31" s="30" t="s">
        <v>101</v>
      </c>
      <c r="D31" s="29"/>
      <c r="E31" s="29"/>
      <c r="F31" s="29"/>
      <c r="G31" s="29"/>
      <c r="H31" s="29"/>
      <c r="I31" s="29"/>
      <c r="J31" s="29"/>
      <c r="K31" s="29"/>
      <c r="L31" s="31"/>
    </row>
    <row r="32" spans="1:12">
      <c r="A32" s="32" t="s">
        <v>71</v>
      </c>
      <c r="B32" s="33"/>
      <c r="C32" s="34"/>
      <c r="D32" s="32" t="s">
        <v>72</v>
      </c>
      <c r="E32" s="33"/>
      <c r="F32" s="34"/>
      <c r="G32" s="32" t="s">
        <v>73</v>
      </c>
      <c r="H32" s="33"/>
      <c r="I32" s="34"/>
      <c r="J32" s="32" t="s">
        <v>74</v>
      </c>
      <c r="K32" s="33"/>
      <c r="L32" s="34"/>
    </row>
    <row r="33" spans="1:12">
      <c r="A33" s="24"/>
      <c r="B33" s="35">
        <v>2235</v>
      </c>
      <c r="C33" s="36" t="s">
        <v>102</v>
      </c>
      <c r="D33" s="24"/>
      <c r="E33" s="35">
        <f>467+200</f>
        <v>667</v>
      </c>
      <c r="F33" s="36" t="s">
        <v>102</v>
      </c>
      <c r="G33" s="24"/>
      <c r="H33" s="35">
        <f>463-200</f>
        <v>263</v>
      </c>
      <c r="I33" s="36" t="s">
        <v>102</v>
      </c>
      <c r="J33" s="24"/>
      <c r="K33" s="35">
        <v>305</v>
      </c>
      <c r="L33" s="36" t="s">
        <v>102</v>
      </c>
    </row>
    <row r="35" spans="1:12">
      <c r="A35" s="28" t="s">
        <v>30</v>
      </c>
      <c r="B35" s="29"/>
      <c r="C35" s="30" t="s">
        <v>101</v>
      </c>
      <c r="D35" s="29"/>
      <c r="E35" s="29"/>
      <c r="F35" s="29"/>
      <c r="G35" s="29"/>
      <c r="H35" s="29"/>
      <c r="I35" s="29"/>
      <c r="J35" s="29"/>
      <c r="K35" s="29"/>
      <c r="L35" s="31"/>
    </row>
    <row r="36" spans="1:12">
      <c r="A36" s="32" t="s">
        <v>71</v>
      </c>
      <c r="B36" s="33"/>
      <c r="C36" s="34"/>
      <c r="D36" s="32" t="s">
        <v>72</v>
      </c>
      <c r="E36" s="33"/>
      <c r="F36" s="34"/>
      <c r="G36" s="32" t="s">
        <v>73</v>
      </c>
      <c r="H36" s="33"/>
      <c r="I36" s="34"/>
      <c r="J36" s="32" t="s">
        <v>74</v>
      </c>
      <c r="K36" s="33"/>
      <c r="L36" s="34"/>
    </row>
    <row r="37" spans="1:12">
      <c r="A37" s="24"/>
      <c r="B37" s="35">
        <v>856.5</v>
      </c>
      <c r="C37" s="36" t="s">
        <v>102</v>
      </c>
      <c r="D37" s="24"/>
      <c r="E37" s="35">
        <v>31.5</v>
      </c>
      <c r="F37" s="36" t="s">
        <v>102</v>
      </c>
      <c r="G37" s="24"/>
      <c r="H37" s="35">
        <v>86</v>
      </c>
      <c r="I37" s="36" t="s">
        <v>102</v>
      </c>
      <c r="J37" s="24"/>
      <c r="K37" s="35">
        <v>465</v>
      </c>
      <c r="L37" s="36" t="s">
        <v>102</v>
      </c>
    </row>
    <row r="39" spans="1:12">
      <c r="A39" s="28" t="s">
        <v>31</v>
      </c>
      <c r="B39" s="29"/>
      <c r="C39" s="30" t="s">
        <v>101</v>
      </c>
      <c r="D39" s="29"/>
      <c r="E39" s="29"/>
      <c r="F39" s="29"/>
      <c r="G39" s="29"/>
      <c r="H39" s="29"/>
      <c r="I39" s="29"/>
      <c r="J39" s="29"/>
      <c r="K39" s="29"/>
      <c r="L39" s="31"/>
    </row>
    <row r="40" spans="1:12">
      <c r="A40" s="32" t="s">
        <v>71</v>
      </c>
      <c r="B40" s="33"/>
      <c r="C40" s="34"/>
      <c r="D40" s="32" t="s">
        <v>72</v>
      </c>
      <c r="E40" s="33"/>
      <c r="F40" s="34"/>
      <c r="G40" s="32" t="s">
        <v>73</v>
      </c>
      <c r="H40" s="33"/>
      <c r="I40" s="34"/>
      <c r="J40" s="32" t="s">
        <v>74</v>
      </c>
      <c r="K40" s="33"/>
      <c r="L40" s="34"/>
    </row>
    <row r="41" spans="1:12">
      <c r="A41" s="24"/>
      <c r="B41" s="35">
        <v>890</v>
      </c>
      <c r="C41" s="36" t="s">
        <v>102</v>
      </c>
      <c r="D41" s="24"/>
      <c r="E41" s="35">
        <v>9</v>
      </c>
      <c r="F41" s="36" t="s">
        <v>102</v>
      </c>
      <c r="G41" s="24"/>
      <c r="H41" s="35">
        <v>41</v>
      </c>
      <c r="I41" s="36" t="s">
        <v>102</v>
      </c>
      <c r="J41" s="24"/>
      <c r="K41" s="35">
        <v>2053</v>
      </c>
      <c r="L41" s="36" t="s">
        <v>102</v>
      </c>
    </row>
    <row r="43" spans="1:12">
      <c r="A43" s="28" t="s">
        <v>32</v>
      </c>
      <c r="B43" s="29"/>
      <c r="C43" s="30" t="s">
        <v>101</v>
      </c>
      <c r="D43" s="29"/>
      <c r="E43" s="29"/>
      <c r="F43" s="29"/>
      <c r="G43" s="29"/>
      <c r="H43" s="29"/>
      <c r="I43" s="29"/>
      <c r="J43" s="29"/>
      <c r="K43" s="29"/>
      <c r="L43" s="31"/>
    </row>
    <row r="44" spans="1:12">
      <c r="A44" s="32" t="s">
        <v>71</v>
      </c>
      <c r="B44" s="33"/>
      <c r="C44" s="34"/>
      <c r="D44" s="32" t="s">
        <v>72</v>
      </c>
      <c r="E44" s="33"/>
      <c r="F44" s="34"/>
      <c r="G44" s="32" t="s">
        <v>73</v>
      </c>
      <c r="H44" s="33"/>
      <c r="I44" s="34"/>
      <c r="J44" s="32" t="s">
        <v>74</v>
      </c>
      <c r="K44" s="33"/>
      <c r="L44" s="34"/>
    </row>
    <row r="45" spans="1:12">
      <c r="A45" s="24"/>
      <c r="B45" s="35">
        <v>647.5</v>
      </c>
      <c r="C45" s="36" t="s">
        <v>102</v>
      </c>
      <c r="D45" s="24"/>
      <c r="E45" s="35">
        <v>8</v>
      </c>
      <c r="F45" s="36" t="s">
        <v>102</v>
      </c>
      <c r="G45" s="24"/>
      <c r="H45" s="35">
        <v>129.5</v>
      </c>
      <c r="I45" s="36" t="s">
        <v>102</v>
      </c>
      <c r="J45" s="24"/>
      <c r="K45" s="35">
        <v>526</v>
      </c>
      <c r="L45" s="36" t="s">
        <v>102</v>
      </c>
    </row>
    <row r="47" spans="1:12">
      <c r="A47" s="28" t="s">
        <v>33</v>
      </c>
      <c r="B47" s="29"/>
      <c r="C47" s="30" t="s">
        <v>101</v>
      </c>
      <c r="D47" s="29"/>
      <c r="E47" s="29"/>
      <c r="F47" s="29"/>
      <c r="G47" s="29"/>
      <c r="H47" s="29"/>
      <c r="I47" s="29"/>
      <c r="J47" s="29"/>
      <c r="K47" s="29"/>
      <c r="L47" s="31"/>
    </row>
    <row r="48" spans="1:12">
      <c r="A48" s="32" t="s">
        <v>71</v>
      </c>
      <c r="B48" s="33"/>
      <c r="C48" s="34"/>
      <c r="D48" s="32" t="s">
        <v>72</v>
      </c>
      <c r="E48" s="33"/>
      <c r="F48" s="34"/>
      <c r="G48" s="32" t="s">
        <v>73</v>
      </c>
      <c r="H48" s="33"/>
      <c r="I48" s="34"/>
      <c r="J48" s="32" t="s">
        <v>74</v>
      </c>
      <c r="K48" s="33"/>
      <c r="L48" s="34"/>
    </row>
    <row r="49" spans="1:14">
      <c r="A49" s="24"/>
      <c r="B49" s="35">
        <v>838.5</v>
      </c>
      <c r="C49" s="36" t="s">
        <v>102</v>
      </c>
      <c r="D49" s="24"/>
      <c r="E49" s="35">
        <v>193.5</v>
      </c>
      <c r="F49" s="36" t="s">
        <v>102</v>
      </c>
      <c r="G49" s="24"/>
      <c r="H49" s="35">
        <v>262.5</v>
      </c>
      <c r="I49" s="36" t="s">
        <v>102</v>
      </c>
      <c r="J49" s="24"/>
      <c r="K49" s="35">
        <v>915</v>
      </c>
      <c r="L49" s="36" t="s">
        <v>102</v>
      </c>
    </row>
    <row r="51" spans="1:14">
      <c r="A51" s="28" t="s">
        <v>34</v>
      </c>
      <c r="B51" s="29"/>
      <c r="C51" s="30" t="s">
        <v>101</v>
      </c>
      <c r="D51" s="29"/>
      <c r="E51" s="29"/>
      <c r="F51" s="29"/>
      <c r="G51" s="29"/>
      <c r="H51" s="29"/>
      <c r="I51" s="29"/>
      <c r="J51" s="29"/>
      <c r="K51" s="29"/>
      <c r="L51" s="31"/>
    </row>
    <row r="52" spans="1:14">
      <c r="A52" s="32" t="s">
        <v>71</v>
      </c>
      <c r="B52" s="33"/>
      <c r="C52" s="34"/>
      <c r="D52" s="32" t="s">
        <v>72</v>
      </c>
      <c r="E52" s="33"/>
      <c r="F52" s="34"/>
      <c r="G52" s="32" t="s">
        <v>73</v>
      </c>
      <c r="H52" s="33"/>
      <c r="I52" s="34"/>
      <c r="J52" s="32" t="s">
        <v>74</v>
      </c>
      <c r="K52" s="33"/>
      <c r="L52" s="34"/>
    </row>
    <row r="53" spans="1:14">
      <c r="A53" s="24"/>
      <c r="B53" s="35">
        <v>528.5</v>
      </c>
      <c r="C53" s="36" t="s">
        <v>102</v>
      </c>
      <c r="D53" s="24"/>
      <c r="E53" s="35">
        <v>17.5</v>
      </c>
      <c r="F53" s="36" t="s">
        <v>102</v>
      </c>
      <c r="G53" s="24"/>
      <c r="H53" s="35">
        <v>12.5</v>
      </c>
      <c r="I53" s="36" t="s">
        <v>102</v>
      </c>
      <c r="J53" s="24"/>
      <c r="K53" s="35">
        <v>963</v>
      </c>
      <c r="L53" s="36" t="s">
        <v>102</v>
      </c>
    </row>
    <row r="55" spans="1:14">
      <c r="B55">
        <f>B53+B49+B45+B41+B37+B33+B29+B25+B21+B17</f>
        <v>9515</v>
      </c>
      <c r="E55">
        <f>E53+E49+E45+E41+E37+E33+E29+E25+E21+E17</f>
        <v>1101</v>
      </c>
      <c r="H55">
        <f>H53+H49+H45+H41+H37+H33+H29+H25+H21+H17</f>
        <v>1128.5</v>
      </c>
      <c r="K55">
        <f>K53+K49+K45+K41+K37+K33+K29+K25+K21+K17</f>
        <v>11233</v>
      </c>
      <c r="N55">
        <f>SUM(B55:M55)</f>
        <v>22977.5</v>
      </c>
    </row>
  </sheetData>
  <mergeCells count="5">
    <mergeCell ref="A1:J1"/>
    <mergeCell ref="A4:C4"/>
    <mergeCell ref="D4:F4"/>
    <mergeCell ref="G4:I4"/>
    <mergeCell ref="J4:L4"/>
  </mergeCells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9"/>
  <sheetViews>
    <sheetView zoomScale="110" zoomScaleNormal="110" workbookViewId="0">
      <selection activeCell="E21" sqref="E21"/>
    </sheetView>
  </sheetViews>
  <sheetFormatPr defaultRowHeight="14.4"/>
  <cols>
    <col min="1" max="1" width="18.5546875" customWidth="1"/>
    <col min="2" max="2" width="2.6640625" customWidth="1"/>
    <col min="3" max="6" width="9.5546875" bestFit="1" customWidth="1"/>
    <col min="7" max="7" width="10" customWidth="1"/>
    <col min="8" max="9" width="9.5546875" bestFit="1" customWidth="1"/>
    <col min="10" max="10" width="11.88671875" customWidth="1"/>
    <col min="11" max="12" width="9.5546875" customWidth="1"/>
    <col min="13" max="13" width="10.5546875" bestFit="1" customWidth="1"/>
    <col min="14" max="14" width="6.5546875" customWidth="1"/>
    <col min="15" max="15" width="1.33203125" customWidth="1"/>
    <col min="16" max="16" width="17" customWidth="1"/>
    <col min="17" max="17" width="5.109375" customWidth="1"/>
    <col min="18" max="18" width="7" customWidth="1"/>
    <col min="20" max="20" width="8.5546875" customWidth="1"/>
    <col min="21" max="21" width="7.5546875" customWidth="1"/>
    <col min="22" max="22" width="7.109375" customWidth="1"/>
    <col min="23" max="23" width="6.6640625" customWidth="1"/>
    <col min="24" max="24" width="7.44140625" customWidth="1"/>
    <col min="25" max="25" width="5.88671875" customWidth="1"/>
    <col min="26" max="26" width="7.44140625" customWidth="1"/>
    <col min="27" max="27" width="5.109375" customWidth="1"/>
    <col min="28" max="28" width="8" customWidth="1"/>
  </cols>
  <sheetData>
    <row r="1" spans="1:13">
      <c r="A1" s="67" t="s">
        <v>104</v>
      </c>
    </row>
    <row r="2" spans="1:13" ht="28.8">
      <c r="A2" s="6" t="s">
        <v>105</v>
      </c>
      <c r="B2" s="7"/>
      <c r="C2" s="7" t="s">
        <v>25</v>
      </c>
      <c r="D2" s="7" t="s">
        <v>26</v>
      </c>
      <c r="E2" s="7" t="s">
        <v>27</v>
      </c>
      <c r="F2" s="7" t="s">
        <v>28</v>
      </c>
      <c r="G2" s="7" t="s">
        <v>106</v>
      </c>
      <c r="H2" s="7" t="s">
        <v>30</v>
      </c>
      <c r="I2" s="7" t="s">
        <v>107</v>
      </c>
      <c r="J2" s="7" t="s">
        <v>32</v>
      </c>
      <c r="K2" s="7" t="s">
        <v>33</v>
      </c>
      <c r="L2" s="7" t="s">
        <v>34</v>
      </c>
      <c r="M2" s="7" t="s">
        <v>108</v>
      </c>
    </row>
    <row r="3" spans="1:13">
      <c r="A3" t="s">
        <v>109</v>
      </c>
      <c r="C3" s="8">
        <f>103-30</f>
        <v>73</v>
      </c>
      <c r="D3" s="8">
        <v>108</v>
      </c>
      <c r="E3" s="8">
        <f>226-77</f>
        <v>149</v>
      </c>
      <c r="F3" s="8">
        <v>86</v>
      </c>
      <c r="G3" s="8">
        <f>134-4</f>
        <v>130</v>
      </c>
      <c r="H3" s="8">
        <f>152-28</f>
        <v>124</v>
      </c>
      <c r="I3" s="8">
        <v>94</v>
      </c>
      <c r="J3" s="8">
        <f>158-72</f>
        <v>86</v>
      </c>
      <c r="K3" s="8">
        <f>111-2</f>
        <v>109</v>
      </c>
      <c r="L3" s="8">
        <v>59</v>
      </c>
      <c r="M3" s="8">
        <f t="shared" ref="M3:M8" si="0">SUM(C3:L3)</f>
        <v>1018</v>
      </c>
    </row>
    <row r="4" spans="1:13">
      <c r="A4" s="7" t="s">
        <v>110</v>
      </c>
      <c r="C4" s="8">
        <v>0</v>
      </c>
      <c r="D4" s="8">
        <f>(103)/2</f>
        <v>51.5</v>
      </c>
      <c r="E4" s="8">
        <v>0</v>
      </c>
      <c r="F4" s="8">
        <f>1/2</f>
        <v>0.5</v>
      </c>
      <c r="G4" s="8">
        <f>1</f>
        <v>1</v>
      </c>
      <c r="H4" s="8">
        <f>47/2</f>
        <v>23.5</v>
      </c>
      <c r="I4" s="8">
        <f>21/2</f>
        <v>10.5</v>
      </c>
      <c r="J4" s="8">
        <v>0</v>
      </c>
      <c r="K4" s="8">
        <f>12/2</f>
        <v>6</v>
      </c>
      <c r="L4" s="8">
        <f>83/2</f>
        <v>41.5</v>
      </c>
      <c r="M4" s="8">
        <f t="shared" si="0"/>
        <v>134.5</v>
      </c>
    </row>
    <row r="5" spans="1:13">
      <c r="A5" t="s">
        <v>111</v>
      </c>
      <c r="C5" s="8">
        <v>4</v>
      </c>
      <c r="D5" s="8">
        <f>5-2</f>
        <v>3</v>
      </c>
      <c r="E5" s="8">
        <f>29-1</f>
        <v>28</v>
      </c>
      <c r="F5" s="8">
        <v>2</v>
      </c>
      <c r="G5" s="8">
        <v>37</v>
      </c>
      <c r="H5" s="8">
        <f>5-3</f>
        <v>2</v>
      </c>
      <c r="I5" s="8">
        <f>3-1</f>
        <v>2</v>
      </c>
      <c r="J5" s="8">
        <v>4</v>
      </c>
      <c r="K5" s="8">
        <v>0</v>
      </c>
      <c r="L5" s="8">
        <v>0</v>
      </c>
      <c r="M5" s="8">
        <f t="shared" si="0"/>
        <v>82</v>
      </c>
    </row>
    <row r="6" spans="1:13">
      <c r="A6" t="s">
        <v>112</v>
      </c>
      <c r="C6" s="8">
        <v>16</v>
      </c>
      <c r="D6" s="8">
        <v>38</v>
      </c>
      <c r="E6" s="8">
        <v>101</v>
      </c>
      <c r="F6" s="8">
        <v>22</v>
      </c>
      <c r="G6" s="8">
        <v>68</v>
      </c>
      <c r="H6" s="8">
        <v>31</v>
      </c>
      <c r="I6" s="8">
        <v>56</v>
      </c>
      <c r="J6" s="8">
        <v>7</v>
      </c>
      <c r="K6" s="8">
        <v>13</v>
      </c>
      <c r="L6" s="8">
        <v>9</v>
      </c>
      <c r="M6" s="8">
        <f t="shared" si="0"/>
        <v>361</v>
      </c>
    </row>
    <row r="7" spans="1:13">
      <c r="A7" t="s">
        <v>113</v>
      </c>
      <c r="C7" s="8">
        <f>1*24</f>
        <v>24</v>
      </c>
      <c r="D7" s="8">
        <f>2*24</f>
        <v>48</v>
      </c>
      <c r="E7" s="8">
        <f>2*24</f>
        <v>48</v>
      </c>
      <c r="F7" s="8">
        <f>1*24</f>
        <v>24</v>
      </c>
      <c r="G7" s="8">
        <f>2*24</f>
        <v>48</v>
      </c>
      <c r="H7" s="8">
        <f>1*24</f>
        <v>24</v>
      </c>
      <c r="I7" s="8">
        <f>2*24</f>
        <v>48</v>
      </c>
      <c r="J7" s="8">
        <v>0</v>
      </c>
      <c r="K7" s="8">
        <v>24</v>
      </c>
      <c r="L7" s="8">
        <f>1*24</f>
        <v>24</v>
      </c>
      <c r="M7" s="8">
        <f t="shared" si="0"/>
        <v>312</v>
      </c>
    </row>
    <row r="8" spans="1:13">
      <c r="A8" t="s">
        <v>114</v>
      </c>
      <c r="C8" s="8">
        <v>0</v>
      </c>
      <c r="D8" s="8">
        <v>8</v>
      </c>
      <c r="E8" s="8">
        <f>2*8</f>
        <v>16</v>
      </c>
      <c r="F8" s="8">
        <v>0</v>
      </c>
      <c r="G8" s="8">
        <f>1*8</f>
        <v>8</v>
      </c>
      <c r="H8" s="8">
        <v>8</v>
      </c>
      <c r="I8" s="8">
        <v>0</v>
      </c>
      <c r="J8" s="8">
        <v>0</v>
      </c>
      <c r="K8" s="8">
        <v>0</v>
      </c>
      <c r="L8" s="8">
        <v>0</v>
      </c>
      <c r="M8" s="8">
        <f t="shared" si="0"/>
        <v>40</v>
      </c>
    </row>
    <row r="9" spans="1:13">
      <c r="A9" t="s">
        <v>37</v>
      </c>
      <c r="C9" s="8">
        <f t="shared" ref="C9:L9" si="1">SUM(C3:C8)</f>
        <v>117</v>
      </c>
      <c r="D9" s="8">
        <f t="shared" si="1"/>
        <v>256.5</v>
      </c>
      <c r="E9" s="8">
        <f t="shared" si="1"/>
        <v>342</v>
      </c>
      <c r="F9" s="8">
        <f t="shared" si="1"/>
        <v>134.5</v>
      </c>
      <c r="G9" s="8">
        <f t="shared" si="1"/>
        <v>292</v>
      </c>
      <c r="H9" s="8">
        <f t="shared" si="1"/>
        <v>212.5</v>
      </c>
      <c r="I9" s="8">
        <f t="shared" si="1"/>
        <v>210.5</v>
      </c>
      <c r="J9" s="8">
        <f t="shared" si="1"/>
        <v>97</v>
      </c>
      <c r="K9" s="8">
        <f t="shared" si="1"/>
        <v>152</v>
      </c>
      <c r="L9" s="8">
        <f t="shared" si="1"/>
        <v>133.5</v>
      </c>
      <c r="M9" s="8">
        <f>SUM(M3:M8)</f>
        <v>1947.5</v>
      </c>
    </row>
    <row r="11" spans="1:13">
      <c r="A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3" spans="1:13">
      <c r="A13" s="62" t="s">
        <v>115</v>
      </c>
    </row>
    <row r="14" spans="1:13" ht="28.8">
      <c r="A14" s="6" t="s">
        <v>105</v>
      </c>
      <c r="B14" s="7"/>
      <c r="C14" s="7" t="s">
        <v>25</v>
      </c>
      <c r="D14" s="7" t="s">
        <v>26</v>
      </c>
      <c r="E14" s="7" t="s">
        <v>27</v>
      </c>
      <c r="F14" s="7" t="s">
        <v>28</v>
      </c>
      <c r="G14" s="7" t="s">
        <v>106</v>
      </c>
      <c r="H14" s="7" t="s">
        <v>30</v>
      </c>
      <c r="I14" s="7" t="s">
        <v>107</v>
      </c>
      <c r="J14" s="7" t="s">
        <v>32</v>
      </c>
      <c r="K14" s="7" t="s">
        <v>33</v>
      </c>
      <c r="L14" s="7" t="s">
        <v>34</v>
      </c>
      <c r="M14" s="7" t="s">
        <v>108</v>
      </c>
    </row>
    <row r="15" spans="1:13">
      <c r="A15" t="s">
        <v>109</v>
      </c>
      <c r="C15" s="8">
        <v>61</v>
      </c>
      <c r="D15" s="8">
        <v>107</v>
      </c>
      <c r="E15" s="8">
        <v>146</v>
      </c>
      <c r="F15" s="8">
        <v>103</v>
      </c>
      <c r="G15" s="8">
        <f>155-2</f>
        <v>153</v>
      </c>
      <c r="H15" s="8">
        <f>151</f>
        <v>151</v>
      </c>
      <c r="I15" s="8">
        <v>89</v>
      </c>
      <c r="J15" s="8">
        <f>116-40</f>
        <v>76</v>
      </c>
      <c r="K15" s="8">
        <v>82</v>
      </c>
      <c r="L15" s="8">
        <v>53</v>
      </c>
      <c r="M15" s="8">
        <f t="shared" ref="M15:M20" si="2">SUM(C15:L15)</f>
        <v>1021</v>
      </c>
    </row>
    <row r="16" spans="1:13">
      <c r="A16" s="7" t="s">
        <v>110</v>
      </c>
      <c r="C16" s="8">
        <v>0</v>
      </c>
      <c r="D16" s="8">
        <f>(106)/2</f>
        <v>53</v>
      </c>
      <c r="E16" s="8">
        <f>12/2</f>
        <v>6</v>
      </c>
      <c r="F16" s="8">
        <f>7/2</f>
        <v>3.5</v>
      </c>
      <c r="G16" s="8">
        <f>2/2</f>
        <v>1</v>
      </c>
      <c r="H16" s="8">
        <f>68/2</f>
        <v>34</v>
      </c>
      <c r="I16" s="8">
        <f>41/2</f>
        <v>20.5</v>
      </c>
      <c r="J16" s="8">
        <f>1/2</f>
        <v>0.5</v>
      </c>
      <c r="K16" s="8">
        <f>5/2</f>
        <v>2.5</v>
      </c>
      <c r="L16" s="8">
        <f>57/2</f>
        <v>28.5</v>
      </c>
      <c r="M16" s="8">
        <f t="shared" si="2"/>
        <v>149.5</v>
      </c>
    </row>
    <row r="17" spans="1:13">
      <c r="A17" t="s">
        <v>111</v>
      </c>
      <c r="C17" s="8">
        <v>1</v>
      </c>
      <c r="D17" s="8">
        <v>5</v>
      </c>
      <c r="E17" s="8">
        <v>13</v>
      </c>
      <c r="F17" s="8">
        <v>1</v>
      </c>
      <c r="G17" s="8">
        <v>26</v>
      </c>
      <c r="H17" s="8">
        <v>1</v>
      </c>
      <c r="I17" s="8">
        <v>3</v>
      </c>
      <c r="J17" s="8">
        <v>2</v>
      </c>
      <c r="K17" s="8">
        <v>1</v>
      </c>
      <c r="L17" s="8">
        <v>0</v>
      </c>
      <c r="M17" s="8">
        <f t="shared" si="2"/>
        <v>53</v>
      </c>
    </row>
    <row r="18" spans="1:13">
      <c r="A18" t="s">
        <v>112</v>
      </c>
      <c r="C18" s="8">
        <v>12</v>
      </c>
      <c r="D18" s="8">
        <v>28</v>
      </c>
      <c r="E18" s="8">
        <v>80</v>
      </c>
      <c r="F18" s="8">
        <v>19</v>
      </c>
      <c r="G18" s="8">
        <v>88</v>
      </c>
      <c r="H18" s="8">
        <v>53</v>
      </c>
      <c r="I18" s="8">
        <v>52</v>
      </c>
      <c r="J18" s="8">
        <v>5</v>
      </c>
      <c r="K18" s="8">
        <v>9</v>
      </c>
      <c r="L18" s="8">
        <v>16</v>
      </c>
      <c r="M18" s="8">
        <f t="shared" si="2"/>
        <v>362</v>
      </c>
    </row>
    <row r="19" spans="1:13">
      <c r="A19" t="s">
        <v>113</v>
      </c>
      <c r="C19" s="8">
        <f>1*24</f>
        <v>24</v>
      </c>
      <c r="D19" s="8">
        <f>1*24</f>
        <v>24</v>
      </c>
      <c r="E19" s="8">
        <f>4*24</f>
        <v>96</v>
      </c>
      <c r="F19" s="8">
        <f>1*24</f>
        <v>24</v>
      </c>
      <c r="G19" s="8">
        <f>2*24</f>
        <v>48</v>
      </c>
      <c r="H19" s="8">
        <f>4*24</f>
        <v>96</v>
      </c>
      <c r="I19" s="8">
        <f>2*24</f>
        <v>48</v>
      </c>
      <c r="J19" s="8">
        <v>0</v>
      </c>
      <c r="K19" s="8">
        <f>24</f>
        <v>24</v>
      </c>
      <c r="L19" s="8">
        <f>1*24</f>
        <v>24</v>
      </c>
      <c r="M19" s="8">
        <f t="shared" si="2"/>
        <v>408</v>
      </c>
    </row>
    <row r="20" spans="1:13">
      <c r="A20" t="s">
        <v>114</v>
      </c>
      <c r="C20" s="8">
        <v>0</v>
      </c>
      <c r="D20" s="8">
        <v>8</v>
      </c>
      <c r="E20" s="8">
        <f>1*8</f>
        <v>8</v>
      </c>
      <c r="F20" s="8">
        <v>0</v>
      </c>
      <c r="G20" s="8">
        <f>1*8</f>
        <v>8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f t="shared" si="2"/>
        <v>24</v>
      </c>
    </row>
    <row r="21" spans="1:13">
      <c r="A21" t="s">
        <v>37</v>
      </c>
      <c r="C21" s="8">
        <f t="shared" ref="C21:L21" si="3">SUM(C15:C20)</f>
        <v>98</v>
      </c>
      <c r="D21" s="8">
        <f t="shared" si="3"/>
        <v>225</v>
      </c>
      <c r="E21" s="8">
        <f t="shared" si="3"/>
        <v>349</v>
      </c>
      <c r="F21" s="8">
        <f t="shared" si="3"/>
        <v>150.5</v>
      </c>
      <c r="G21" s="8">
        <f t="shared" si="3"/>
        <v>324</v>
      </c>
      <c r="H21" s="8">
        <f t="shared" si="3"/>
        <v>335</v>
      </c>
      <c r="I21" s="8">
        <f t="shared" si="3"/>
        <v>212.5</v>
      </c>
      <c r="J21" s="8">
        <f t="shared" si="3"/>
        <v>83.5</v>
      </c>
      <c r="K21" s="8">
        <f t="shared" si="3"/>
        <v>118.5</v>
      </c>
      <c r="L21" s="8">
        <f t="shared" si="3"/>
        <v>121.5</v>
      </c>
      <c r="M21" s="8">
        <f>SUM(M15:M20)</f>
        <v>2017.5</v>
      </c>
    </row>
    <row r="23" spans="1:13">
      <c r="A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5" spans="1:13">
      <c r="A25" s="107" t="s">
        <v>116</v>
      </c>
    </row>
    <row r="26" spans="1:13" ht="28.8">
      <c r="A26" s="6" t="s">
        <v>105</v>
      </c>
      <c r="B26" s="7"/>
      <c r="C26" s="7" t="s">
        <v>25</v>
      </c>
      <c r="D26" s="7" t="s">
        <v>26</v>
      </c>
      <c r="E26" s="7" t="s">
        <v>27</v>
      </c>
      <c r="F26" s="7" t="s">
        <v>28</v>
      </c>
      <c r="G26" s="7" t="s">
        <v>106</v>
      </c>
      <c r="H26" s="7" t="s">
        <v>30</v>
      </c>
      <c r="I26" s="7" t="s">
        <v>107</v>
      </c>
      <c r="J26" s="7" t="s">
        <v>32</v>
      </c>
      <c r="K26" s="7" t="s">
        <v>33</v>
      </c>
      <c r="L26" s="7" t="s">
        <v>34</v>
      </c>
      <c r="M26" s="7" t="s">
        <v>108</v>
      </c>
    </row>
    <row r="27" spans="1:13">
      <c r="A27" t="s">
        <v>109</v>
      </c>
      <c r="C27" s="8">
        <f t="shared" ref="C27:H27" si="4">(C3+C3+C15)/3</f>
        <v>69</v>
      </c>
      <c r="D27" s="8">
        <f t="shared" si="4"/>
        <v>107.66666666666667</v>
      </c>
      <c r="E27" s="8">
        <f t="shared" si="4"/>
        <v>148</v>
      </c>
      <c r="F27" s="8">
        <f t="shared" si="4"/>
        <v>91.666666666666671</v>
      </c>
      <c r="G27" s="8">
        <f t="shared" si="4"/>
        <v>137.66666666666666</v>
      </c>
      <c r="H27" s="8">
        <f t="shared" si="4"/>
        <v>133</v>
      </c>
      <c r="I27" s="8">
        <f>(I3+I3+I15)/3</f>
        <v>92.333333333333329</v>
      </c>
      <c r="J27" s="8">
        <f>(J3+J3+J15)/3</f>
        <v>82.666666666666671</v>
      </c>
      <c r="K27" s="8">
        <f>(K3+K3+K15)/3</f>
        <v>100</v>
      </c>
      <c r="L27" s="8">
        <f>(L3+L3+L15)/3</f>
        <v>57</v>
      </c>
      <c r="M27" s="8">
        <f t="shared" ref="M27:M32" si="5">SUM(C27:L27)</f>
        <v>1019</v>
      </c>
    </row>
    <row r="28" spans="1:13">
      <c r="A28" s="7" t="s">
        <v>110</v>
      </c>
      <c r="C28" s="8">
        <f t="shared" ref="C28:L28" si="6">(C4+C4+C16)/3</f>
        <v>0</v>
      </c>
      <c r="D28" s="8">
        <f t="shared" si="6"/>
        <v>52</v>
      </c>
      <c r="E28" s="8">
        <f t="shared" si="6"/>
        <v>2</v>
      </c>
      <c r="F28" s="8">
        <f t="shared" si="6"/>
        <v>1.5</v>
      </c>
      <c r="G28" s="8">
        <f t="shared" si="6"/>
        <v>1</v>
      </c>
      <c r="H28" s="8">
        <f t="shared" si="6"/>
        <v>27</v>
      </c>
      <c r="I28" s="8">
        <f t="shared" si="6"/>
        <v>13.833333333333334</v>
      </c>
      <c r="J28" s="8">
        <f t="shared" si="6"/>
        <v>0.16666666666666666</v>
      </c>
      <c r="K28" s="8">
        <f t="shared" si="6"/>
        <v>4.833333333333333</v>
      </c>
      <c r="L28" s="8">
        <f t="shared" si="6"/>
        <v>37.166666666666664</v>
      </c>
      <c r="M28" s="8">
        <f t="shared" si="5"/>
        <v>139.5</v>
      </c>
    </row>
    <row r="29" spans="1:13">
      <c r="A29" t="s">
        <v>111</v>
      </c>
      <c r="C29" s="8">
        <f t="shared" ref="C29:L29" si="7">(C5+C5+C17)/3</f>
        <v>3</v>
      </c>
      <c r="D29" s="8">
        <f t="shared" si="7"/>
        <v>3.6666666666666665</v>
      </c>
      <c r="E29" s="8">
        <f t="shared" si="7"/>
        <v>23</v>
      </c>
      <c r="F29" s="8">
        <f t="shared" si="7"/>
        <v>1.6666666666666667</v>
      </c>
      <c r="G29" s="8">
        <f t="shared" si="7"/>
        <v>33.333333333333336</v>
      </c>
      <c r="H29" s="8">
        <f t="shared" si="7"/>
        <v>1.6666666666666667</v>
      </c>
      <c r="I29" s="8">
        <f t="shared" si="7"/>
        <v>2.3333333333333335</v>
      </c>
      <c r="J29" s="8">
        <f t="shared" si="7"/>
        <v>3.3333333333333335</v>
      </c>
      <c r="K29" s="8">
        <f t="shared" si="7"/>
        <v>0.33333333333333331</v>
      </c>
      <c r="L29" s="8">
        <f t="shared" si="7"/>
        <v>0</v>
      </c>
      <c r="M29" s="8">
        <f t="shared" si="5"/>
        <v>72.333333333333329</v>
      </c>
    </row>
    <row r="30" spans="1:13">
      <c r="A30" t="s">
        <v>112</v>
      </c>
      <c r="C30" s="8">
        <f t="shared" ref="C30:L30" si="8">(C6+C6+C18)/3</f>
        <v>14.666666666666666</v>
      </c>
      <c r="D30" s="8">
        <f t="shared" si="8"/>
        <v>34.666666666666664</v>
      </c>
      <c r="E30" s="8">
        <f t="shared" si="8"/>
        <v>94</v>
      </c>
      <c r="F30" s="8">
        <f t="shared" si="8"/>
        <v>21</v>
      </c>
      <c r="G30" s="8">
        <f t="shared" si="8"/>
        <v>74.666666666666671</v>
      </c>
      <c r="H30" s="8">
        <f t="shared" si="8"/>
        <v>38.333333333333336</v>
      </c>
      <c r="I30" s="8">
        <f t="shared" si="8"/>
        <v>54.666666666666664</v>
      </c>
      <c r="J30" s="8">
        <f t="shared" si="8"/>
        <v>6.333333333333333</v>
      </c>
      <c r="K30" s="8">
        <f t="shared" si="8"/>
        <v>11.666666666666666</v>
      </c>
      <c r="L30" s="8">
        <f t="shared" si="8"/>
        <v>11.333333333333334</v>
      </c>
      <c r="M30" s="8">
        <f t="shared" si="5"/>
        <v>361.33333333333331</v>
      </c>
    </row>
    <row r="31" spans="1:13">
      <c r="A31" t="s">
        <v>113</v>
      </c>
      <c r="C31" s="8">
        <f t="shared" ref="C31:L31" si="9">(C7+C7+C19)/3</f>
        <v>24</v>
      </c>
      <c r="D31" s="8">
        <f t="shared" si="9"/>
        <v>40</v>
      </c>
      <c r="E31" s="8">
        <f t="shared" si="9"/>
        <v>64</v>
      </c>
      <c r="F31" s="8">
        <f t="shared" si="9"/>
        <v>24</v>
      </c>
      <c r="G31" s="8">
        <f t="shared" si="9"/>
        <v>48</v>
      </c>
      <c r="H31" s="8">
        <f t="shared" si="9"/>
        <v>48</v>
      </c>
      <c r="I31" s="8">
        <f t="shared" si="9"/>
        <v>48</v>
      </c>
      <c r="J31" s="8">
        <f t="shared" si="9"/>
        <v>0</v>
      </c>
      <c r="K31" s="8">
        <f t="shared" si="9"/>
        <v>24</v>
      </c>
      <c r="L31" s="8">
        <f t="shared" si="9"/>
        <v>24</v>
      </c>
      <c r="M31" s="8">
        <f t="shared" si="5"/>
        <v>344</v>
      </c>
    </row>
    <row r="32" spans="1:13">
      <c r="A32" t="s">
        <v>114</v>
      </c>
      <c r="C32" s="8">
        <f t="shared" ref="C32:L32" si="10">(C8+C8+C20)/3</f>
        <v>0</v>
      </c>
      <c r="D32" s="8">
        <f t="shared" si="10"/>
        <v>8</v>
      </c>
      <c r="E32" s="8">
        <f t="shared" si="10"/>
        <v>13.333333333333334</v>
      </c>
      <c r="F32" s="8">
        <f t="shared" si="10"/>
        <v>0</v>
      </c>
      <c r="G32" s="8">
        <f t="shared" si="10"/>
        <v>8</v>
      </c>
      <c r="H32" s="8">
        <f t="shared" si="10"/>
        <v>5.333333333333333</v>
      </c>
      <c r="I32" s="8">
        <f t="shared" si="10"/>
        <v>0</v>
      </c>
      <c r="J32" s="8">
        <f t="shared" si="10"/>
        <v>0</v>
      </c>
      <c r="K32" s="8">
        <f t="shared" si="10"/>
        <v>0</v>
      </c>
      <c r="L32" s="8">
        <f t="shared" si="10"/>
        <v>0</v>
      </c>
      <c r="M32" s="8">
        <f t="shared" si="5"/>
        <v>34.666666666666671</v>
      </c>
    </row>
    <row r="33" spans="1:13">
      <c r="A33" t="s">
        <v>37</v>
      </c>
      <c r="C33" s="8">
        <f t="shared" ref="C33:L33" si="11">SUM(C27:C32)</f>
        <v>110.66666666666667</v>
      </c>
      <c r="D33" s="8">
        <f t="shared" si="11"/>
        <v>246</v>
      </c>
      <c r="E33" s="8">
        <f t="shared" si="11"/>
        <v>344.33333333333331</v>
      </c>
      <c r="F33" s="8">
        <f t="shared" si="11"/>
        <v>139.83333333333334</v>
      </c>
      <c r="G33" s="8">
        <f t="shared" si="11"/>
        <v>302.66666666666669</v>
      </c>
      <c r="H33" s="8">
        <f t="shared" si="11"/>
        <v>253.33333333333334</v>
      </c>
      <c r="I33" s="8">
        <f t="shared" si="11"/>
        <v>211.16666666666666</v>
      </c>
      <c r="J33" s="8">
        <f t="shared" si="11"/>
        <v>92.5</v>
      </c>
      <c r="K33" s="8">
        <f t="shared" si="11"/>
        <v>140.83333333333331</v>
      </c>
      <c r="L33" s="8">
        <f t="shared" si="11"/>
        <v>129.5</v>
      </c>
      <c r="M33" s="8">
        <f>SUM(M27:M32)</f>
        <v>1970.8333333333333</v>
      </c>
    </row>
    <row r="35" spans="1:13">
      <c r="A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t="s">
        <v>117</v>
      </c>
    </row>
    <row r="37" spans="1:13">
      <c r="A37" t="s">
        <v>118</v>
      </c>
    </row>
    <row r="38" spans="1:13">
      <c r="A38" t="s">
        <v>119</v>
      </c>
    </row>
    <row r="39" spans="1:13">
      <c r="A39" t="s">
        <v>120</v>
      </c>
    </row>
  </sheetData>
  <pageMargins left="0.7" right="0.7" top="0.75" bottom="0.75" header="0.3" footer="0.3"/>
  <pageSetup paperSize="9" scale="7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38"/>
  <sheetViews>
    <sheetView topLeftCell="A4" zoomScaleNormal="100" workbookViewId="0">
      <selection activeCell="E19" sqref="E19"/>
    </sheetView>
  </sheetViews>
  <sheetFormatPr defaultRowHeight="14.4"/>
  <cols>
    <col min="1" max="1" width="20.5546875" customWidth="1"/>
    <col min="2" max="2" width="4.109375" customWidth="1"/>
    <col min="3" max="3" width="7" customWidth="1"/>
    <col min="4" max="4" width="9.33203125" bestFit="1" customWidth="1"/>
    <col min="5" max="5" width="9" customWidth="1"/>
    <col min="6" max="6" width="7.5546875" customWidth="1"/>
    <col min="7" max="7" width="9.5546875" customWidth="1"/>
    <col min="8" max="8" width="7.44140625" customWidth="1"/>
    <col min="9" max="9" width="8" customWidth="1"/>
    <col min="10" max="10" width="6.88671875" customWidth="1"/>
    <col min="11" max="11" width="7.44140625" customWidth="1"/>
    <col min="12" max="12" width="6.6640625" customWidth="1"/>
    <col min="13" max="13" width="9.6640625" customWidth="1"/>
  </cols>
  <sheetData>
    <row r="1" spans="1:25">
      <c r="A1" s="67" t="s">
        <v>121</v>
      </c>
    </row>
    <row r="2" spans="1:25" ht="28.8">
      <c r="A2" s="6" t="s">
        <v>105</v>
      </c>
      <c r="B2" s="7"/>
      <c r="C2" s="7" t="s">
        <v>25</v>
      </c>
      <c r="D2" s="7" t="s">
        <v>26</v>
      </c>
      <c r="E2" s="7" t="s">
        <v>27</v>
      </c>
      <c r="F2" s="7" t="s">
        <v>28</v>
      </c>
      <c r="G2" s="7" t="s">
        <v>106</v>
      </c>
      <c r="H2" s="7" t="s">
        <v>30</v>
      </c>
      <c r="I2" s="7" t="s">
        <v>107</v>
      </c>
      <c r="J2" s="7" t="s">
        <v>32</v>
      </c>
      <c r="K2" s="7" t="s">
        <v>33</v>
      </c>
      <c r="L2" s="7" t="s">
        <v>122</v>
      </c>
      <c r="M2" s="7" t="s">
        <v>108</v>
      </c>
      <c r="N2" s="9"/>
    </row>
    <row r="3" spans="1:25">
      <c r="A3" t="s">
        <v>109</v>
      </c>
      <c r="C3" s="8">
        <f>103-30</f>
        <v>73</v>
      </c>
      <c r="D3" s="8">
        <v>108</v>
      </c>
      <c r="E3" s="8">
        <f>226-77</f>
        <v>149</v>
      </c>
      <c r="F3" s="8">
        <f>86+54</f>
        <v>140</v>
      </c>
      <c r="G3" s="8">
        <f>134-4+12</f>
        <v>142</v>
      </c>
      <c r="H3" s="8">
        <f>152-28</f>
        <v>124</v>
      </c>
      <c r="I3" s="8">
        <f>94+46</f>
        <v>140</v>
      </c>
      <c r="J3" s="8">
        <f>158-72</f>
        <v>86</v>
      </c>
      <c r="K3" s="8">
        <f>111-2</f>
        <v>109</v>
      </c>
      <c r="L3" s="8">
        <f>59+1</f>
        <v>60</v>
      </c>
      <c r="M3" s="8">
        <f t="shared" ref="M3:M8" si="0">SUM(C3:L3)</f>
        <v>1131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>
      <c r="A4" s="7" t="s">
        <v>110</v>
      </c>
      <c r="C4" s="8">
        <v>0</v>
      </c>
      <c r="D4" s="8">
        <f>(103)/2</f>
        <v>51.5</v>
      </c>
      <c r="E4" s="8">
        <v>0</v>
      </c>
      <c r="F4" s="8">
        <f>1/2</f>
        <v>0.5</v>
      </c>
      <c r="G4" s="8">
        <f>1</f>
        <v>1</v>
      </c>
      <c r="H4" s="8">
        <f>47/2</f>
        <v>23.5</v>
      </c>
      <c r="I4" s="8">
        <f>21/2</f>
        <v>10.5</v>
      </c>
      <c r="J4" s="8">
        <v>0</v>
      </c>
      <c r="K4" s="8">
        <f>12/2</f>
        <v>6</v>
      </c>
      <c r="L4" s="8">
        <f>83/2</f>
        <v>41.5</v>
      </c>
      <c r="M4" s="8">
        <f t="shared" si="0"/>
        <v>134.5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>
      <c r="A5" t="s">
        <v>111</v>
      </c>
      <c r="C5" s="8">
        <v>4</v>
      </c>
      <c r="D5" s="8">
        <f>5-2</f>
        <v>3</v>
      </c>
      <c r="E5" s="8">
        <f>29-1</f>
        <v>28</v>
      </c>
      <c r="F5" s="8">
        <v>2</v>
      </c>
      <c r="G5" s="8">
        <v>37</v>
      </c>
      <c r="H5" s="8">
        <f>5-3</f>
        <v>2</v>
      </c>
      <c r="I5" s="8">
        <f>3-1</f>
        <v>2</v>
      </c>
      <c r="J5" s="8">
        <v>4</v>
      </c>
      <c r="K5" s="8">
        <v>0</v>
      </c>
      <c r="L5" s="8">
        <v>0</v>
      </c>
      <c r="M5" s="8">
        <f t="shared" si="0"/>
        <v>82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>
      <c r="A6" t="s">
        <v>112</v>
      </c>
      <c r="C6" s="8">
        <v>16</v>
      </c>
      <c r="D6" s="8">
        <v>38</v>
      </c>
      <c r="E6" s="8">
        <v>101</v>
      </c>
      <c r="F6" s="8">
        <v>22</v>
      </c>
      <c r="G6" s="8">
        <v>68</v>
      </c>
      <c r="H6" s="8">
        <v>31</v>
      </c>
      <c r="I6" s="8">
        <v>56</v>
      </c>
      <c r="J6" s="8">
        <v>7</v>
      </c>
      <c r="K6" s="8">
        <v>13</v>
      </c>
      <c r="L6" s="8">
        <v>9</v>
      </c>
      <c r="M6" s="8">
        <f t="shared" si="0"/>
        <v>361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>
      <c r="A7" t="s">
        <v>113</v>
      </c>
      <c r="C7" s="8">
        <f>1*24</f>
        <v>24</v>
      </c>
      <c r="D7" s="8">
        <f>2*24</f>
        <v>48</v>
      </c>
      <c r="E7" s="8">
        <f>2*24</f>
        <v>48</v>
      </c>
      <c r="F7" s="8">
        <f>1*24</f>
        <v>24</v>
      </c>
      <c r="G7" s="8">
        <f>2*24</f>
        <v>48</v>
      </c>
      <c r="H7" s="8">
        <f>1*24</f>
        <v>24</v>
      </c>
      <c r="I7" s="8">
        <f>2*24</f>
        <v>48</v>
      </c>
      <c r="J7" s="8">
        <v>0</v>
      </c>
      <c r="K7" s="8">
        <v>24</v>
      </c>
      <c r="L7" s="8">
        <f>1*24</f>
        <v>24</v>
      </c>
      <c r="M7" s="8">
        <f t="shared" si="0"/>
        <v>312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>
      <c r="A8" t="s">
        <v>114</v>
      </c>
      <c r="C8" s="8">
        <v>0</v>
      </c>
      <c r="D8" s="8">
        <v>8</v>
      </c>
      <c r="E8" s="8">
        <f>2*8</f>
        <v>16</v>
      </c>
      <c r="F8" s="8">
        <v>0</v>
      </c>
      <c r="G8" s="8">
        <f>1*8</f>
        <v>8</v>
      </c>
      <c r="H8" s="8">
        <v>8</v>
      </c>
      <c r="I8" s="8">
        <v>0</v>
      </c>
      <c r="J8" s="8">
        <v>0</v>
      </c>
      <c r="K8" s="8">
        <v>0</v>
      </c>
      <c r="L8" s="8">
        <v>0</v>
      </c>
      <c r="M8" s="8">
        <f t="shared" si="0"/>
        <v>40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>
      <c r="A9" t="s">
        <v>37</v>
      </c>
      <c r="C9" s="8">
        <f t="shared" ref="C9:L9" si="1">SUM(C3:C8)</f>
        <v>117</v>
      </c>
      <c r="D9" s="8">
        <f t="shared" si="1"/>
        <v>256.5</v>
      </c>
      <c r="E9" s="8">
        <f t="shared" si="1"/>
        <v>342</v>
      </c>
      <c r="F9" s="8">
        <f t="shared" si="1"/>
        <v>188.5</v>
      </c>
      <c r="G9" s="8">
        <f t="shared" si="1"/>
        <v>304</v>
      </c>
      <c r="H9" s="8">
        <f t="shared" si="1"/>
        <v>212.5</v>
      </c>
      <c r="I9" s="8">
        <f t="shared" si="1"/>
        <v>256.5</v>
      </c>
      <c r="J9" s="8">
        <f t="shared" si="1"/>
        <v>97</v>
      </c>
      <c r="K9" s="8">
        <f t="shared" si="1"/>
        <v>152</v>
      </c>
      <c r="L9" s="8">
        <f t="shared" si="1"/>
        <v>134.5</v>
      </c>
      <c r="M9" s="8">
        <f>SUM(M3:M8)</f>
        <v>2060.5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5">
      <c r="A12" s="62" t="s">
        <v>123</v>
      </c>
    </row>
    <row r="13" spans="1:25" ht="28.8">
      <c r="A13" s="6" t="s">
        <v>105</v>
      </c>
      <c r="B13" s="7"/>
      <c r="C13" s="7" t="s">
        <v>25</v>
      </c>
      <c r="D13" s="7" t="s">
        <v>26</v>
      </c>
      <c r="E13" s="7" t="s">
        <v>27</v>
      </c>
      <c r="F13" s="7" t="s">
        <v>28</v>
      </c>
      <c r="G13" s="7" t="s">
        <v>106</v>
      </c>
      <c r="H13" s="7" t="s">
        <v>30</v>
      </c>
      <c r="I13" s="7" t="s">
        <v>107</v>
      </c>
      <c r="J13" s="7" t="s">
        <v>32</v>
      </c>
      <c r="K13" s="7" t="s">
        <v>33</v>
      </c>
      <c r="L13" s="7" t="s">
        <v>34</v>
      </c>
      <c r="M13" s="7" t="s">
        <v>108</v>
      </c>
      <c r="N13" s="9"/>
    </row>
    <row r="14" spans="1:25">
      <c r="A14" t="s">
        <v>109</v>
      </c>
      <c r="C14" s="8">
        <v>61</v>
      </c>
      <c r="D14" s="8">
        <f>107+7</f>
        <v>114</v>
      </c>
      <c r="E14" s="8">
        <f>146+6</f>
        <v>152</v>
      </c>
      <c r="F14" s="8">
        <f>103+35</f>
        <v>138</v>
      </c>
      <c r="G14" s="8">
        <f>155-2+14</f>
        <v>167</v>
      </c>
      <c r="H14" s="8">
        <f>151+0</f>
        <v>151</v>
      </c>
      <c r="I14" s="8">
        <f>89+36</f>
        <v>125</v>
      </c>
      <c r="J14" s="8">
        <f>116-40+0</f>
        <v>76</v>
      </c>
      <c r="K14" s="8">
        <v>82</v>
      </c>
      <c r="L14" s="8">
        <v>53</v>
      </c>
      <c r="M14" s="8">
        <f t="shared" ref="M14:M19" si="2">SUM(C14:L14)</f>
        <v>1119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>
      <c r="A15" s="7" t="s">
        <v>110</v>
      </c>
      <c r="C15" s="8">
        <v>0</v>
      </c>
      <c r="D15" s="8">
        <f>(106)/2</f>
        <v>53</v>
      </c>
      <c r="E15" s="8">
        <f>12</f>
        <v>12</v>
      </c>
      <c r="F15" s="8">
        <f>7/2</f>
        <v>3.5</v>
      </c>
      <c r="G15" s="8">
        <f>1/2</f>
        <v>0.5</v>
      </c>
      <c r="H15" s="8">
        <f>68/2</f>
        <v>34</v>
      </c>
      <c r="I15" s="8">
        <f>41/2</f>
        <v>20.5</v>
      </c>
      <c r="J15" s="8">
        <f>1/2</f>
        <v>0.5</v>
      </c>
      <c r="K15" s="8">
        <f>5/2</f>
        <v>2.5</v>
      </c>
      <c r="L15" s="8">
        <f>57/2</f>
        <v>28.5</v>
      </c>
      <c r="M15" s="8">
        <f t="shared" si="2"/>
        <v>155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>
      <c r="A16" t="s">
        <v>111</v>
      </c>
      <c r="C16" s="8">
        <v>1</v>
      </c>
      <c r="D16" s="8">
        <v>5</v>
      </c>
      <c r="E16" s="8">
        <v>13</v>
      </c>
      <c r="F16" s="8">
        <v>1</v>
      </c>
      <c r="G16" s="8">
        <v>26</v>
      </c>
      <c r="H16" s="8">
        <v>1</v>
      </c>
      <c r="I16" s="8">
        <f>3</f>
        <v>3</v>
      </c>
      <c r="J16" s="8">
        <v>2</v>
      </c>
      <c r="K16" s="8">
        <f>1</f>
        <v>1</v>
      </c>
      <c r="L16" s="8">
        <v>0</v>
      </c>
      <c r="M16" s="8">
        <f t="shared" si="2"/>
        <v>53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>
      <c r="A17" t="s">
        <v>112</v>
      </c>
      <c r="C17" s="8">
        <v>12</v>
      </c>
      <c r="D17" s="8">
        <v>28</v>
      </c>
      <c r="E17" s="8">
        <v>80</v>
      </c>
      <c r="F17" s="8">
        <v>19</v>
      </c>
      <c r="G17" s="8">
        <v>88</v>
      </c>
      <c r="H17" s="8">
        <f>53</f>
        <v>53</v>
      </c>
      <c r="I17" s="8">
        <v>52</v>
      </c>
      <c r="J17" s="8">
        <v>5</v>
      </c>
      <c r="K17" s="8">
        <v>9</v>
      </c>
      <c r="L17" s="8">
        <v>16</v>
      </c>
      <c r="M17" s="8">
        <f t="shared" si="2"/>
        <v>362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>
      <c r="A18" t="s">
        <v>113</v>
      </c>
      <c r="C18" s="8">
        <f>1*24</f>
        <v>24</v>
      </c>
      <c r="D18" s="8">
        <f>1*24</f>
        <v>24</v>
      </c>
      <c r="E18" s="8">
        <f>4*24</f>
        <v>96</v>
      </c>
      <c r="F18" s="8">
        <f>1*24</f>
        <v>24</v>
      </c>
      <c r="G18" s="8">
        <f>2*24</f>
        <v>48</v>
      </c>
      <c r="H18" s="8">
        <f>4*24</f>
        <v>96</v>
      </c>
      <c r="I18" s="8">
        <f>2*24</f>
        <v>48</v>
      </c>
      <c r="J18" s="8">
        <v>0</v>
      </c>
      <c r="K18" s="8">
        <v>24</v>
      </c>
      <c r="L18" s="8">
        <f>1*24</f>
        <v>24</v>
      </c>
      <c r="M18" s="8">
        <f t="shared" si="2"/>
        <v>408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>
      <c r="A19" t="s">
        <v>114</v>
      </c>
      <c r="C19" s="8">
        <v>0</v>
      </c>
      <c r="D19" s="8">
        <v>8</v>
      </c>
      <c r="E19" s="8">
        <f>1*8</f>
        <v>8</v>
      </c>
      <c r="F19" s="8">
        <v>0</v>
      </c>
      <c r="G19" s="8">
        <f>1*8</f>
        <v>8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f t="shared" si="2"/>
        <v>24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>
      <c r="A20" t="s">
        <v>37</v>
      </c>
      <c r="C20" s="8">
        <f t="shared" ref="C20:L20" si="3">SUM(C14:C19)</f>
        <v>98</v>
      </c>
      <c r="D20" s="8">
        <f t="shared" si="3"/>
        <v>232</v>
      </c>
      <c r="E20" s="8">
        <f t="shared" si="3"/>
        <v>361</v>
      </c>
      <c r="F20" s="8">
        <f t="shared" si="3"/>
        <v>185.5</v>
      </c>
      <c r="G20" s="8">
        <f t="shared" si="3"/>
        <v>337.5</v>
      </c>
      <c r="H20" s="8">
        <f t="shared" si="3"/>
        <v>335</v>
      </c>
      <c r="I20" s="8">
        <f t="shared" si="3"/>
        <v>248.5</v>
      </c>
      <c r="J20" s="8">
        <f t="shared" si="3"/>
        <v>83.5</v>
      </c>
      <c r="K20" s="8">
        <f t="shared" si="3"/>
        <v>118.5</v>
      </c>
      <c r="L20" s="8">
        <f t="shared" si="3"/>
        <v>121.5</v>
      </c>
      <c r="M20" s="8">
        <f>SUM(M14:M19)</f>
        <v>2121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25">
      <c r="M22" s="8"/>
    </row>
    <row r="23" spans="1:25">
      <c r="A23" s="87" t="s">
        <v>124</v>
      </c>
    </row>
    <row r="24" spans="1:25" ht="28.8">
      <c r="A24" s="6" t="s">
        <v>105</v>
      </c>
      <c r="B24" s="7"/>
      <c r="C24" s="7" t="s">
        <v>25</v>
      </c>
      <c r="D24" s="7" t="s">
        <v>26</v>
      </c>
      <c r="E24" s="7" t="s">
        <v>27</v>
      </c>
      <c r="F24" s="7" t="s">
        <v>28</v>
      </c>
      <c r="G24" s="7" t="s">
        <v>106</v>
      </c>
      <c r="H24" s="7" t="s">
        <v>30</v>
      </c>
      <c r="I24" s="7" t="s">
        <v>107</v>
      </c>
      <c r="J24" s="7" t="s">
        <v>32</v>
      </c>
      <c r="K24" s="7" t="s">
        <v>33</v>
      </c>
      <c r="L24" s="7" t="s">
        <v>34</v>
      </c>
      <c r="M24" s="7" t="s">
        <v>108</v>
      </c>
      <c r="N24" s="9"/>
    </row>
    <row r="25" spans="1:25">
      <c r="A25" t="s">
        <v>109</v>
      </c>
      <c r="C25" s="8">
        <f t="shared" ref="C25:L25" si="4">(C3+C3+C14)/3</f>
        <v>69</v>
      </c>
      <c r="D25" s="8">
        <f t="shared" si="4"/>
        <v>110</v>
      </c>
      <c r="E25" s="8">
        <f t="shared" si="4"/>
        <v>150</v>
      </c>
      <c r="F25" s="8">
        <f t="shared" si="4"/>
        <v>139.33333333333334</v>
      </c>
      <c r="G25" s="8">
        <f t="shared" si="4"/>
        <v>150.33333333333334</v>
      </c>
      <c r="H25" s="8">
        <f t="shared" si="4"/>
        <v>133</v>
      </c>
      <c r="I25" s="8">
        <f t="shared" si="4"/>
        <v>135</v>
      </c>
      <c r="J25" s="8">
        <f t="shared" si="4"/>
        <v>82.666666666666671</v>
      </c>
      <c r="K25" s="8">
        <f t="shared" si="4"/>
        <v>100</v>
      </c>
      <c r="L25" s="8">
        <f t="shared" si="4"/>
        <v>57.666666666666664</v>
      </c>
      <c r="M25" s="8">
        <f t="shared" ref="M25:M30" si="5">SUM(C25:L25)</f>
        <v>1127.0000000000002</v>
      </c>
    </row>
    <row r="26" spans="1:25">
      <c r="A26" s="7" t="s">
        <v>110</v>
      </c>
      <c r="C26" s="8">
        <f t="shared" ref="C26:L26" si="6">(C4+C4+C15)/3</f>
        <v>0</v>
      </c>
      <c r="D26" s="8">
        <f t="shared" si="6"/>
        <v>52</v>
      </c>
      <c r="E26" s="8">
        <f t="shared" si="6"/>
        <v>4</v>
      </c>
      <c r="F26" s="8">
        <f t="shared" si="6"/>
        <v>1.5</v>
      </c>
      <c r="G26" s="8">
        <f t="shared" si="6"/>
        <v>0.83333333333333337</v>
      </c>
      <c r="H26" s="8">
        <f t="shared" si="6"/>
        <v>27</v>
      </c>
      <c r="I26" s="8">
        <f t="shared" si="6"/>
        <v>13.833333333333334</v>
      </c>
      <c r="J26" s="8">
        <f t="shared" si="6"/>
        <v>0.16666666666666666</v>
      </c>
      <c r="K26" s="8">
        <f t="shared" si="6"/>
        <v>4.833333333333333</v>
      </c>
      <c r="L26" s="8">
        <f t="shared" si="6"/>
        <v>37.166666666666664</v>
      </c>
      <c r="M26" s="8">
        <f t="shared" si="5"/>
        <v>141.33333333333334</v>
      </c>
    </row>
    <row r="27" spans="1:25">
      <c r="A27" t="s">
        <v>111</v>
      </c>
      <c r="C27" s="8">
        <f t="shared" ref="C27:L27" si="7">(C5+C5+C16)/3</f>
        <v>3</v>
      </c>
      <c r="D27" s="8">
        <f t="shared" si="7"/>
        <v>3.6666666666666665</v>
      </c>
      <c r="E27" s="8">
        <f t="shared" si="7"/>
        <v>23</v>
      </c>
      <c r="F27" s="8">
        <f t="shared" si="7"/>
        <v>1.6666666666666667</v>
      </c>
      <c r="G27" s="8">
        <f t="shared" si="7"/>
        <v>33.333333333333336</v>
      </c>
      <c r="H27" s="8">
        <f t="shared" si="7"/>
        <v>1.6666666666666667</v>
      </c>
      <c r="I27" s="8">
        <f t="shared" si="7"/>
        <v>2.3333333333333335</v>
      </c>
      <c r="J27" s="8">
        <f t="shared" si="7"/>
        <v>3.3333333333333335</v>
      </c>
      <c r="K27" s="8">
        <f t="shared" si="7"/>
        <v>0.33333333333333331</v>
      </c>
      <c r="L27" s="8">
        <f t="shared" si="7"/>
        <v>0</v>
      </c>
      <c r="M27" s="8">
        <f t="shared" si="5"/>
        <v>72.333333333333329</v>
      </c>
    </row>
    <row r="28" spans="1:25">
      <c r="A28" t="s">
        <v>112</v>
      </c>
      <c r="C28" s="8">
        <f t="shared" ref="C28:L28" si="8">(C6+C6+C17)/3</f>
        <v>14.666666666666666</v>
      </c>
      <c r="D28" s="8">
        <f t="shared" si="8"/>
        <v>34.666666666666664</v>
      </c>
      <c r="E28" s="8">
        <f t="shared" si="8"/>
        <v>94</v>
      </c>
      <c r="F28" s="8">
        <f t="shared" si="8"/>
        <v>21</v>
      </c>
      <c r="G28" s="8">
        <f t="shared" si="8"/>
        <v>74.666666666666671</v>
      </c>
      <c r="H28" s="8">
        <f t="shared" si="8"/>
        <v>38.333333333333336</v>
      </c>
      <c r="I28" s="8">
        <f t="shared" si="8"/>
        <v>54.666666666666664</v>
      </c>
      <c r="J28" s="8">
        <f t="shared" si="8"/>
        <v>6.333333333333333</v>
      </c>
      <c r="K28" s="8">
        <f t="shared" si="8"/>
        <v>11.666666666666666</v>
      </c>
      <c r="L28" s="8">
        <f t="shared" si="8"/>
        <v>11.333333333333334</v>
      </c>
      <c r="M28" s="8">
        <f t="shared" si="5"/>
        <v>361.33333333333331</v>
      </c>
    </row>
    <row r="29" spans="1:25">
      <c r="A29" t="s">
        <v>113</v>
      </c>
      <c r="C29" s="8">
        <f t="shared" ref="C29:L29" si="9">(C7+C7+C18)/3</f>
        <v>24</v>
      </c>
      <c r="D29" s="8">
        <f t="shared" si="9"/>
        <v>40</v>
      </c>
      <c r="E29" s="8">
        <f t="shared" si="9"/>
        <v>64</v>
      </c>
      <c r="F29" s="8">
        <f t="shared" si="9"/>
        <v>24</v>
      </c>
      <c r="G29" s="8">
        <f t="shared" si="9"/>
        <v>48</v>
      </c>
      <c r="H29" s="8">
        <f t="shared" si="9"/>
        <v>48</v>
      </c>
      <c r="I29" s="8">
        <f t="shared" si="9"/>
        <v>48</v>
      </c>
      <c r="J29" s="8">
        <f t="shared" si="9"/>
        <v>0</v>
      </c>
      <c r="K29" s="8">
        <f t="shared" si="9"/>
        <v>24</v>
      </c>
      <c r="L29" s="8">
        <f t="shared" si="9"/>
        <v>24</v>
      </c>
      <c r="M29" s="8">
        <f t="shared" si="5"/>
        <v>344</v>
      </c>
    </row>
    <row r="30" spans="1:25">
      <c r="A30" t="s">
        <v>114</v>
      </c>
      <c r="C30" s="8">
        <f t="shared" ref="C30:L30" si="10">(C8+C8+C19)/3</f>
        <v>0</v>
      </c>
      <c r="D30" s="8">
        <f t="shared" si="10"/>
        <v>8</v>
      </c>
      <c r="E30" s="8">
        <f t="shared" si="10"/>
        <v>13.333333333333334</v>
      </c>
      <c r="F30" s="8">
        <f t="shared" si="10"/>
        <v>0</v>
      </c>
      <c r="G30" s="8">
        <f t="shared" si="10"/>
        <v>8</v>
      </c>
      <c r="H30" s="8">
        <f t="shared" si="10"/>
        <v>5.333333333333333</v>
      </c>
      <c r="I30" s="8">
        <f t="shared" si="10"/>
        <v>0</v>
      </c>
      <c r="J30" s="8">
        <f t="shared" si="10"/>
        <v>0</v>
      </c>
      <c r="K30" s="8">
        <f t="shared" si="10"/>
        <v>0</v>
      </c>
      <c r="L30" s="8">
        <f t="shared" si="10"/>
        <v>0</v>
      </c>
      <c r="M30" s="8">
        <f t="shared" si="5"/>
        <v>34.666666666666671</v>
      </c>
    </row>
    <row r="31" spans="1:25" s="1" customFormat="1">
      <c r="A31" t="s">
        <v>37</v>
      </c>
      <c r="B31"/>
      <c r="C31" s="8">
        <f t="shared" ref="C31:L31" si="11">SUM(C25:C30)</f>
        <v>110.66666666666667</v>
      </c>
      <c r="D31" s="8">
        <f t="shared" si="11"/>
        <v>248.33333333333331</v>
      </c>
      <c r="E31" s="8">
        <f t="shared" si="11"/>
        <v>348.33333333333331</v>
      </c>
      <c r="F31" s="8">
        <f t="shared" si="11"/>
        <v>187.5</v>
      </c>
      <c r="G31" s="8">
        <f t="shared" si="11"/>
        <v>315.16666666666669</v>
      </c>
      <c r="H31" s="8">
        <f t="shared" si="11"/>
        <v>253.33333333333334</v>
      </c>
      <c r="I31" s="8">
        <f t="shared" si="11"/>
        <v>253.83333333333334</v>
      </c>
      <c r="J31" s="8">
        <f t="shared" si="11"/>
        <v>92.5</v>
      </c>
      <c r="K31" s="8">
        <f t="shared" si="11"/>
        <v>140.83333333333331</v>
      </c>
      <c r="L31" s="8">
        <f t="shared" si="11"/>
        <v>130.16666666666666</v>
      </c>
      <c r="M31" s="8">
        <f>SUM(M25:M30)</f>
        <v>2080.6666666666665</v>
      </c>
      <c r="O31">
        <f>(M9+M9+M20)/3</f>
        <v>2080.6666666666665</v>
      </c>
    </row>
    <row r="32" spans="1:25">
      <c r="D32" s="8"/>
      <c r="E32" s="8"/>
      <c r="F32" s="8"/>
      <c r="G32" s="8"/>
      <c r="H32" s="8"/>
      <c r="I32" s="8"/>
      <c r="M32" s="8"/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120</v>
      </c>
    </row>
    <row r="38" spans="1:1">
      <c r="A38" t="s">
        <v>128</v>
      </c>
    </row>
  </sheetData>
  <pageMargins left="0.7" right="0.7" top="0.75" bottom="0.75" header="0.3" footer="0.3"/>
  <pageSetup paperSize="9" scale="7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1"/>
  <sheetViews>
    <sheetView zoomScaleNormal="100" workbookViewId="0">
      <selection activeCell="I9" sqref="I9"/>
    </sheetView>
  </sheetViews>
  <sheetFormatPr defaultRowHeight="14.4"/>
  <cols>
    <col min="5" max="5" width="5.6640625" customWidth="1"/>
    <col min="6" max="6" width="11.6640625" customWidth="1"/>
    <col min="7" max="7" width="14.44140625" customWidth="1"/>
    <col min="8" max="8" width="4.6640625" customWidth="1"/>
    <col min="9" max="9" width="11.33203125" customWidth="1"/>
    <col min="10" max="10" width="12" customWidth="1"/>
    <col min="11" max="11" width="11.6640625" customWidth="1"/>
    <col min="12" max="12" width="14.6640625" customWidth="1"/>
    <col min="13" max="13" width="13.33203125" customWidth="1"/>
    <col min="14" max="14" width="12" customWidth="1"/>
    <col min="15" max="15" width="11.5546875" customWidth="1"/>
  </cols>
  <sheetData>
    <row r="1" spans="1:21" ht="46.2">
      <c r="A1" s="105" t="s">
        <v>129</v>
      </c>
      <c r="B1" s="106"/>
      <c r="C1" s="106"/>
      <c r="D1" s="106"/>
      <c r="E1" s="106"/>
      <c r="F1" s="106"/>
      <c r="R1" s="97"/>
    </row>
    <row r="2" spans="1:21">
      <c r="R2" s="97"/>
    </row>
    <row r="3" spans="1:21" ht="18">
      <c r="A3" s="99" t="s">
        <v>129</v>
      </c>
      <c r="B3" s="99"/>
      <c r="C3" s="99"/>
      <c r="D3" s="99"/>
      <c r="E3" s="99"/>
      <c r="G3" s="99"/>
      <c r="H3" s="99"/>
      <c r="I3" s="99"/>
      <c r="K3" s="99"/>
      <c r="L3" s="99"/>
      <c r="N3" s="99"/>
      <c r="O3" s="99"/>
      <c r="P3" s="99"/>
      <c r="R3" s="97"/>
    </row>
    <row r="4" spans="1:21" ht="18">
      <c r="A4" s="99"/>
      <c r="B4" s="99"/>
      <c r="C4" s="99"/>
      <c r="D4" s="99"/>
      <c r="E4" s="99"/>
      <c r="F4" s="100">
        <v>2019</v>
      </c>
      <c r="G4" s="99"/>
      <c r="H4" s="99"/>
      <c r="I4" s="101">
        <v>2021</v>
      </c>
      <c r="K4" s="171" t="s">
        <v>116</v>
      </c>
      <c r="L4" s="171"/>
      <c r="M4" s="99"/>
      <c r="N4" s="99"/>
      <c r="O4" s="99"/>
      <c r="Q4" s="97"/>
    </row>
    <row r="5" spans="1:21" s="7" customFormat="1" ht="59.25" customHeight="1">
      <c r="A5" s="102"/>
      <c r="B5" s="102"/>
      <c r="C5" s="102"/>
      <c r="D5" s="102"/>
      <c r="E5" s="170" t="s">
        <v>130</v>
      </c>
      <c r="F5" s="170"/>
      <c r="G5" s="102"/>
      <c r="H5" s="170" t="s">
        <v>130</v>
      </c>
      <c r="I5" s="170"/>
      <c r="J5" s="102"/>
      <c r="K5" s="102"/>
      <c r="L5" s="110" t="s">
        <v>130</v>
      </c>
      <c r="M5" s="102"/>
      <c r="N5" s="102"/>
      <c r="P5" s="98"/>
    </row>
    <row r="6" spans="1:21" ht="18">
      <c r="A6" s="99" t="s">
        <v>25</v>
      </c>
      <c r="B6" s="99"/>
      <c r="C6" s="99"/>
      <c r="D6" s="99"/>
      <c r="E6" s="99"/>
      <c r="F6" s="99">
        <f>30+11+554</f>
        <v>595</v>
      </c>
      <c r="G6" s="103"/>
      <c r="H6" s="99"/>
      <c r="I6" s="99">
        <f>0+22+382</f>
        <v>404</v>
      </c>
      <c r="J6" s="103"/>
      <c r="K6" s="99"/>
      <c r="L6" s="103">
        <f t="shared" ref="L6:L15" si="0">(F6+F6+I6)/3</f>
        <v>531.33333333333337</v>
      </c>
      <c r="M6" s="103"/>
      <c r="N6" s="99"/>
      <c r="P6" s="63"/>
      <c r="Q6" s="63"/>
      <c r="R6" s="10"/>
      <c r="S6" s="10"/>
      <c r="T6" s="10"/>
      <c r="U6" s="44"/>
    </row>
    <row r="7" spans="1:21" ht="18">
      <c r="A7" s="99" t="s">
        <v>26</v>
      </c>
      <c r="B7" s="99"/>
      <c r="C7" s="99"/>
      <c r="D7" s="99"/>
      <c r="E7" s="99"/>
      <c r="F7" s="99">
        <f>0+13+713-58</f>
        <v>668</v>
      </c>
      <c r="G7" s="103"/>
      <c r="H7" s="99"/>
      <c r="I7" s="99">
        <f>0+10+275</f>
        <v>285</v>
      </c>
      <c r="J7" s="103"/>
      <c r="K7" s="99"/>
      <c r="L7" s="103">
        <f t="shared" si="0"/>
        <v>540.33333333333337</v>
      </c>
      <c r="M7" s="103"/>
      <c r="N7" s="99"/>
      <c r="P7" s="63"/>
      <c r="Q7" s="63"/>
      <c r="R7" s="10"/>
      <c r="S7" s="10"/>
      <c r="T7" s="10"/>
      <c r="U7" s="44"/>
    </row>
    <row r="8" spans="1:21" ht="18">
      <c r="A8" s="99" t="s">
        <v>27</v>
      </c>
      <c r="B8" s="99"/>
      <c r="C8" s="99"/>
      <c r="D8" s="99"/>
      <c r="E8" s="99"/>
      <c r="F8" s="99">
        <f>77+19+274-67</f>
        <v>303</v>
      </c>
      <c r="G8" s="103"/>
      <c r="H8" s="99"/>
      <c r="I8" s="99">
        <f>16+14+188</f>
        <v>218</v>
      </c>
      <c r="J8" s="103"/>
      <c r="K8" s="99"/>
      <c r="L8" s="103">
        <f t="shared" si="0"/>
        <v>274.66666666666669</v>
      </c>
      <c r="M8" s="103"/>
      <c r="N8" s="99"/>
      <c r="P8" s="63"/>
      <c r="Q8" s="63"/>
      <c r="R8" s="10"/>
      <c r="S8" s="10"/>
      <c r="T8" s="10"/>
      <c r="U8" s="44"/>
    </row>
    <row r="9" spans="1:21" ht="18">
      <c r="A9" s="99" t="s">
        <v>28</v>
      </c>
      <c r="B9" s="99"/>
      <c r="C9" s="99"/>
      <c r="D9" s="99"/>
      <c r="E9" s="99"/>
      <c r="F9" s="99">
        <f>0+9+457-3</f>
        <v>463</v>
      </c>
      <c r="G9" s="103"/>
      <c r="H9" s="99"/>
      <c r="I9" s="99">
        <f>0+9+231</f>
        <v>240</v>
      </c>
      <c r="J9" s="103"/>
      <c r="K9" s="99"/>
      <c r="L9" s="103">
        <f t="shared" si="0"/>
        <v>388.66666666666669</v>
      </c>
      <c r="M9" s="103"/>
      <c r="N9" s="99"/>
      <c r="P9" s="63"/>
      <c r="Q9" s="63"/>
      <c r="R9" s="10"/>
      <c r="S9" s="10"/>
      <c r="T9" s="10"/>
      <c r="U9" s="44"/>
    </row>
    <row r="10" spans="1:21" ht="18">
      <c r="A10" s="99" t="s">
        <v>29</v>
      </c>
      <c r="B10" s="99"/>
      <c r="C10" s="99"/>
      <c r="D10" s="99"/>
      <c r="E10" s="99"/>
      <c r="F10" s="99">
        <f>4+20+308</f>
        <v>332</v>
      </c>
      <c r="G10" s="103"/>
      <c r="H10" s="99"/>
      <c r="I10" s="99">
        <f>2+21+166-1</f>
        <v>188</v>
      </c>
      <c r="J10" s="103"/>
      <c r="K10" s="99"/>
      <c r="L10" s="103">
        <f t="shared" si="0"/>
        <v>284</v>
      </c>
      <c r="M10" s="103"/>
      <c r="N10" s="99"/>
      <c r="P10" s="63"/>
      <c r="Q10" s="63"/>
      <c r="R10" s="10"/>
      <c r="S10" s="10"/>
      <c r="T10" s="10"/>
      <c r="U10" s="44"/>
    </row>
    <row r="11" spans="1:21" ht="18">
      <c r="A11" s="99" t="s">
        <v>30</v>
      </c>
      <c r="B11" s="99"/>
      <c r="C11" s="99"/>
      <c r="D11" s="99"/>
      <c r="E11" s="99"/>
      <c r="F11" s="99">
        <f>28+11+281-36+10</f>
        <v>294</v>
      </c>
      <c r="G11" s="103"/>
      <c r="H11" s="99"/>
      <c r="I11" s="99">
        <f>12+1+181</f>
        <v>194</v>
      </c>
      <c r="J11" s="103"/>
      <c r="K11" s="99"/>
      <c r="L11" s="103">
        <f t="shared" si="0"/>
        <v>260.66666666666669</v>
      </c>
      <c r="M11" s="103"/>
      <c r="N11" s="99"/>
      <c r="P11" s="63"/>
      <c r="Q11" s="63"/>
      <c r="R11" s="10"/>
      <c r="S11" s="10"/>
      <c r="T11" s="10"/>
      <c r="U11" s="44"/>
    </row>
    <row r="12" spans="1:21" ht="18">
      <c r="A12" s="99" t="s">
        <v>31</v>
      </c>
      <c r="B12" s="99"/>
      <c r="C12" s="99"/>
      <c r="D12" s="99"/>
      <c r="E12" s="99"/>
      <c r="F12" s="99">
        <f>0+9+357-51-64+28+1</f>
        <v>280</v>
      </c>
      <c r="G12" s="103"/>
      <c r="H12" s="99"/>
      <c r="I12" s="99">
        <f>0+6+206</f>
        <v>212</v>
      </c>
      <c r="J12" s="103"/>
      <c r="K12" s="99"/>
      <c r="L12" s="103">
        <f t="shared" si="0"/>
        <v>257.33333333333331</v>
      </c>
      <c r="M12" s="103"/>
      <c r="N12" s="99"/>
      <c r="P12" s="63"/>
      <c r="Q12" s="63"/>
      <c r="R12" s="10"/>
      <c r="S12" s="10"/>
      <c r="T12" s="10"/>
      <c r="U12" s="44"/>
    </row>
    <row r="13" spans="1:21" ht="18">
      <c r="A13" s="99" t="s">
        <v>32</v>
      </c>
      <c r="B13" s="99"/>
      <c r="C13" s="99"/>
      <c r="D13" s="99"/>
      <c r="E13" s="99"/>
      <c r="F13" s="99">
        <f>72+9+126+6</f>
        <v>213</v>
      </c>
      <c r="G13" s="103"/>
      <c r="H13" s="99"/>
      <c r="I13" s="99">
        <f>40+2+60</f>
        <v>102</v>
      </c>
      <c r="J13" s="103"/>
      <c r="K13" s="99"/>
      <c r="L13" s="103">
        <f t="shared" si="0"/>
        <v>176</v>
      </c>
      <c r="M13" s="103"/>
      <c r="N13" s="99"/>
      <c r="P13" s="63"/>
      <c r="Q13" s="63"/>
      <c r="R13" s="10"/>
      <c r="S13" s="10"/>
      <c r="T13" s="10"/>
      <c r="U13" s="44"/>
    </row>
    <row r="14" spans="1:21" ht="18">
      <c r="A14" s="99" t="s">
        <v>33</v>
      </c>
      <c r="B14" s="99"/>
      <c r="C14" s="99"/>
      <c r="D14" s="99"/>
      <c r="E14" s="99"/>
      <c r="F14" s="99">
        <f>2+11+375-46-36</f>
        <v>306</v>
      </c>
      <c r="G14" s="103"/>
      <c r="H14" s="99"/>
      <c r="I14" s="99">
        <f>0+0+216</f>
        <v>216</v>
      </c>
      <c r="J14" s="103"/>
      <c r="K14" s="99"/>
      <c r="L14" s="103">
        <f t="shared" si="0"/>
        <v>276</v>
      </c>
      <c r="M14" s="103"/>
      <c r="N14" s="99"/>
      <c r="P14" s="63"/>
      <c r="Q14" s="63"/>
      <c r="R14" s="10"/>
      <c r="S14" s="10"/>
      <c r="T14" s="10"/>
      <c r="U14" s="44"/>
    </row>
    <row r="15" spans="1:21" ht="18">
      <c r="A15" s="99" t="s">
        <v>34</v>
      </c>
      <c r="B15" s="99"/>
      <c r="C15" s="99"/>
      <c r="D15" s="99"/>
      <c r="E15" s="99"/>
      <c r="F15" s="99">
        <f>0+12+415</f>
        <v>427</v>
      </c>
      <c r="G15" s="103"/>
      <c r="H15" s="99"/>
      <c r="I15" s="99">
        <f>0+5+336</f>
        <v>341</v>
      </c>
      <c r="J15" s="103"/>
      <c r="K15" s="99"/>
      <c r="L15" s="103">
        <f t="shared" si="0"/>
        <v>398.33333333333331</v>
      </c>
      <c r="M15" s="103"/>
      <c r="N15" s="99"/>
      <c r="P15" s="63"/>
      <c r="Q15" s="63"/>
      <c r="R15" s="10"/>
      <c r="S15" s="10"/>
      <c r="T15" s="10"/>
      <c r="U15" s="44"/>
    </row>
    <row r="16" spans="1:21" s="1" customFormat="1" ht="18">
      <c r="A16" s="103" t="s">
        <v>37</v>
      </c>
      <c r="B16" s="103"/>
      <c r="C16" s="103"/>
      <c r="D16" s="103"/>
      <c r="E16" s="103"/>
      <c r="F16" s="103">
        <f>SUM(F6:F15)</f>
        <v>3881</v>
      </c>
      <c r="G16" s="103"/>
      <c r="H16" s="103"/>
      <c r="I16" s="103">
        <f>SUM(I6:I15)</f>
        <v>2400</v>
      </c>
      <c r="J16" s="103"/>
      <c r="K16" s="103"/>
      <c r="L16" s="103">
        <f>SUM(L6:L15)</f>
        <v>3387.3333333333339</v>
      </c>
      <c r="M16" s="103"/>
      <c r="N16" s="103"/>
      <c r="P16" s="111"/>
      <c r="Q16" s="111"/>
    </row>
    <row r="17" spans="1:16" ht="18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1:16" ht="18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1:16" ht="19.5" customHeight="1">
      <c r="A19" s="99" t="s">
        <v>131</v>
      </c>
      <c r="B19" s="99"/>
      <c r="C19" s="99"/>
      <c r="D19" s="99"/>
      <c r="E19" s="99"/>
      <c r="F19" s="99"/>
      <c r="G19" s="99"/>
      <c r="H19" s="99"/>
      <c r="I19" s="99"/>
      <c r="J19" s="104"/>
      <c r="K19" s="104"/>
      <c r="L19" s="104"/>
      <c r="M19" s="104"/>
      <c r="N19" s="99"/>
      <c r="O19" s="99"/>
      <c r="P19" s="99"/>
    </row>
    <row r="20" spans="1:16" ht="19.5" customHeight="1">
      <c r="A20" s="99" t="s">
        <v>132</v>
      </c>
      <c r="B20" s="99"/>
      <c r="C20" s="99"/>
      <c r="D20" s="99"/>
      <c r="E20" s="99"/>
      <c r="F20" s="99"/>
      <c r="G20" s="99"/>
      <c r="H20" s="99"/>
      <c r="I20" s="99"/>
      <c r="J20" s="104"/>
      <c r="K20" s="104"/>
      <c r="L20" s="104"/>
      <c r="M20" s="104"/>
      <c r="N20" s="99"/>
      <c r="O20" s="99"/>
      <c r="P20" s="99"/>
    </row>
    <row r="21" spans="1:16" ht="19.5" customHeight="1">
      <c r="A21" s="99" t="s">
        <v>133</v>
      </c>
      <c r="B21" s="99"/>
      <c r="C21" s="99"/>
      <c r="D21" s="99"/>
      <c r="E21" s="99"/>
      <c r="F21" s="99"/>
      <c r="G21" s="99"/>
      <c r="H21" s="99"/>
      <c r="I21" s="99"/>
      <c r="J21" s="104"/>
      <c r="K21" s="104"/>
      <c r="L21" s="104"/>
      <c r="M21" s="104"/>
      <c r="N21" s="99"/>
      <c r="O21" s="99"/>
      <c r="P21" s="99"/>
    </row>
    <row r="22" spans="1:16" ht="19.5" customHeight="1">
      <c r="A22" s="99" t="s">
        <v>134</v>
      </c>
      <c r="B22" s="99"/>
      <c r="C22" s="99"/>
      <c r="D22" s="99"/>
      <c r="E22" s="99"/>
      <c r="F22" s="99"/>
      <c r="G22" s="99"/>
      <c r="H22" s="99"/>
      <c r="I22" s="99"/>
      <c r="J22" s="104"/>
      <c r="K22" s="104"/>
      <c r="L22" s="104"/>
      <c r="M22" s="104"/>
      <c r="N22" s="99"/>
      <c r="O22" s="99"/>
      <c r="P22" s="99"/>
    </row>
    <row r="23" spans="1:16" ht="19.5" customHeight="1">
      <c r="A23" s="99" t="s">
        <v>135</v>
      </c>
      <c r="B23" s="99"/>
      <c r="C23" s="99"/>
      <c r="D23" s="99"/>
      <c r="E23" s="99"/>
      <c r="F23" s="99"/>
      <c r="G23" s="99"/>
      <c r="H23" s="99"/>
      <c r="I23" s="99"/>
      <c r="J23" s="104"/>
      <c r="K23" s="104"/>
      <c r="L23" s="104"/>
      <c r="M23" s="104"/>
      <c r="N23" s="99"/>
      <c r="O23" s="99"/>
      <c r="P23" s="99"/>
    </row>
    <row r="24" spans="1:16" ht="19.5" customHeight="1">
      <c r="A24" s="99" t="s">
        <v>136</v>
      </c>
      <c r="B24" s="99"/>
      <c r="C24" s="99"/>
      <c r="D24" s="99"/>
      <c r="E24" s="99"/>
      <c r="F24" s="99"/>
      <c r="G24" s="99"/>
      <c r="H24" s="99"/>
      <c r="I24" s="99"/>
      <c r="J24" s="104"/>
      <c r="K24" s="104"/>
      <c r="L24" s="104"/>
      <c r="M24" s="104"/>
      <c r="N24" s="99"/>
      <c r="O24" s="99"/>
      <c r="P24" s="99"/>
    </row>
    <row r="25" spans="1:16" ht="19.5" customHeight="1">
      <c r="A25" s="99" t="s">
        <v>137</v>
      </c>
      <c r="B25" s="99"/>
      <c r="C25" s="99"/>
      <c r="D25" s="99"/>
      <c r="E25" s="99"/>
      <c r="F25" s="99"/>
      <c r="G25" s="99"/>
      <c r="H25" s="99"/>
      <c r="I25" s="99"/>
      <c r="J25" s="104"/>
      <c r="K25" s="104"/>
      <c r="L25" s="104"/>
      <c r="M25" s="104"/>
      <c r="N25" s="99"/>
      <c r="O25" s="99"/>
      <c r="P25" s="99"/>
    </row>
    <row r="26" spans="1:16" ht="19.5" customHeight="1">
      <c r="A26" s="99" t="s">
        <v>138</v>
      </c>
      <c r="B26" s="99"/>
      <c r="C26" s="99"/>
      <c r="D26" s="99"/>
      <c r="E26" s="99"/>
      <c r="F26" s="99"/>
      <c r="G26" s="99"/>
      <c r="H26" s="99"/>
      <c r="I26" s="99"/>
      <c r="J26" s="104"/>
      <c r="K26" s="104"/>
      <c r="L26" s="104"/>
      <c r="M26" s="104"/>
      <c r="N26" s="99"/>
      <c r="O26" s="99"/>
      <c r="P26" s="99"/>
    </row>
    <row r="27" spans="1:16" ht="19.5" customHeight="1">
      <c r="A27" s="99" t="s">
        <v>139</v>
      </c>
      <c r="B27" s="99"/>
      <c r="C27" s="99"/>
      <c r="D27" s="99"/>
      <c r="E27" s="99"/>
      <c r="F27" s="99"/>
      <c r="G27" s="99"/>
      <c r="H27" s="99"/>
      <c r="I27" s="99"/>
      <c r="J27" s="104"/>
      <c r="K27" s="104"/>
      <c r="L27" s="104"/>
      <c r="M27" s="104"/>
      <c r="N27" s="99"/>
      <c r="O27" s="99"/>
      <c r="P27" s="99"/>
    </row>
    <row r="28" spans="1:16" ht="19.5" customHeight="1">
      <c r="A28" s="99" t="s">
        <v>140</v>
      </c>
      <c r="B28" s="99"/>
      <c r="C28" s="99"/>
      <c r="D28" s="99"/>
      <c r="E28" s="99"/>
      <c r="F28" s="99"/>
      <c r="G28" s="99"/>
      <c r="H28" s="99"/>
      <c r="I28" s="99"/>
      <c r="J28" s="104"/>
      <c r="K28" s="104"/>
      <c r="L28" s="104"/>
      <c r="M28" s="104"/>
      <c r="N28" s="99"/>
      <c r="O28" s="99"/>
      <c r="P28" s="99"/>
    </row>
    <row r="29" spans="1:16" ht="19.5" customHeight="1">
      <c r="A29" s="99" t="s">
        <v>141</v>
      </c>
      <c r="B29" s="99"/>
      <c r="C29" s="99"/>
      <c r="D29" s="99"/>
      <c r="E29" s="99"/>
      <c r="F29" s="99"/>
      <c r="G29" s="99"/>
      <c r="H29" s="99"/>
      <c r="I29" s="99"/>
      <c r="J29" s="104"/>
      <c r="K29" s="104"/>
      <c r="L29" s="104"/>
      <c r="M29" s="104"/>
      <c r="N29" s="99"/>
      <c r="O29" s="99"/>
      <c r="P29" s="99"/>
    </row>
    <row r="30" spans="1:16" ht="20.25" customHeight="1">
      <c r="A30" s="99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</row>
    <row r="31" spans="1:16" ht="18">
      <c r="A31" s="99"/>
    </row>
  </sheetData>
  <mergeCells count="3">
    <mergeCell ref="E5:F5"/>
    <mergeCell ref="H5:I5"/>
    <mergeCell ref="K4:L4"/>
  </mergeCells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3A3C1F0F305C4AA97977FEC94BBD8A" ma:contentTypeVersion="14" ma:contentTypeDescription="Opret et nyt dokument." ma:contentTypeScope="" ma:versionID="320644c5115ff0ece1cb720b74174418">
  <xsd:schema xmlns:xsd="http://www.w3.org/2001/XMLSchema" xmlns:xs="http://www.w3.org/2001/XMLSchema" xmlns:p="http://schemas.microsoft.com/office/2006/metadata/properties" xmlns:ns3="a22bfa84-1ae0-4f1c-8441-ccdedb3e284b" xmlns:ns4="cd49e34f-eb2a-49cb-82fe-941f6c800000" targetNamespace="http://schemas.microsoft.com/office/2006/metadata/properties" ma:root="true" ma:fieldsID="b8b4f57ee83d7ed724d8f93a3cce3305" ns3:_="" ns4:_="">
    <xsd:import namespace="a22bfa84-1ae0-4f1c-8441-ccdedb3e284b"/>
    <xsd:import namespace="cd49e34f-eb2a-49cb-82fe-941f6c80000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bfa84-1ae0-4f1c-8441-ccdedb3e2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9e34f-eb2a-49cb-82fe-941f6c800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CF747-FD1F-41F6-9D86-92ECDCC6D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F5F830-6053-4865-B3E3-8ABE65F8E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2bfa84-1ae0-4f1c-8441-ccdedb3e284b"/>
    <ds:schemaRef ds:uri="cd49e34f-eb2a-49cb-82fe-941f6c8000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5F3C96-E759-4782-A1A2-C61F81EB7F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</vt:i4>
      </vt:variant>
    </vt:vector>
  </HeadingPairs>
  <TitlesOfParts>
    <vt:vector size="11" baseType="lpstr">
      <vt:lpstr>BEVILLING 2021-2025</vt:lpstr>
      <vt:lpstr>Bevilling 2022</vt:lpstr>
      <vt:lpstr>1% BEVILLING 2021-2024</vt:lpstr>
      <vt:lpstr>19-19-21 BB-Model</vt:lpstr>
      <vt:lpstr>ny m2</vt:lpstr>
      <vt:lpstr>ny m2 rådata</vt:lpstr>
      <vt:lpstr>Formål 2</vt:lpstr>
      <vt:lpstr>Formål 3 skal</vt:lpstr>
      <vt:lpstr>Formål 3 kan</vt:lpstr>
      <vt:lpstr>Indbyggere</vt:lpstr>
      <vt:lpstr>'BEVILLING 2021-2025'!Udskriftsområde</vt:lpstr>
    </vt:vector>
  </TitlesOfParts>
  <Manager/>
  <Company>Kirkenettet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Haastrup</dc:creator>
  <cp:keywords/>
  <dc:description/>
  <cp:lastModifiedBy>Benedicte Rostgaard Spies</cp:lastModifiedBy>
  <cp:revision/>
  <cp:lastPrinted>2022-04-28T08:48:39Z</cp:lastPrinted>
  <dcterms:created xsi:type="dcterms:W3CDTF">2015-11-27T13:12:07Z</dcterms:created>
  <dcterms:modified xsi:type="dcterms:W3CDTF">2022-04-28T08:48:44Z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0x010100083A3C1F0F305C4AA97977FEC94BBD8A</vt:lpwstr>
  </property>
</Properties>
</file>